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760"/>
  </bookViews>
  <sheets>
    <sheet name="Hoja 1" sheetId="1" r:id="rId1"/>
  </sheets>
  <calcPr calcId="125725"/>
</workbook>
</file>

<file path=xl/calcChain.xml><?xml version="1.0" encoding="utf-8"?>
<calcChain xmlns="http://schemas.openxmlformats.org/spreadsheetml/2006/main">
  <c r="L366" i="1"/>
  <c r="K366"/>
  <c r="M366" s="1"/>
  <c r="L367" s="1"/>
  <c r="L363"/>
  <c r="K363"/>
  <c r="M363" s="1"/>
  <c r="L364" s="1"/>
  <c r="L360"/>
  <c r="K360"/>
  <c r="M360" s="1"/>
  <c r="L359"/>
  <c r="K359"/>
  <c r="M359" s="1"/>
  <c r="L358"/>
  <c r="K358"/>
  <c r="M358" s="1"/>
  <c r="L357"/>
  <c r="K357"/>
  <c r="M357" s="1"/>
  <c r="L356"/>
  <c r="K356"/>
  <c r="M356" s="1"/>
  <c r="L355"/>
  <c r="K355"/>
  <c r="M355" s="1"/>
  <c r="L354"/>
  <c r="K354"/>
  <c r="M354" s="1"/>
  <c r="L353"/>
  <c r="K353"/>
  <c r="M353" s="1"/>
  <c r="L352"/>
  <c r="K352"/>
  <c r="M352" s="1"/>
  <c r="L361" s="1"/>
  <c r="L349"/>
  <c r="K349"/>
  <c r="M349" s="1"/>
  <c r="L348"/>
  <c r="K348"/>
  <c r="M348" s="1"/>
  <c r="J347"/>
  <c r="K347" s="1"/>
  <c r="K345" s="1"/>
  <c r="M345" s="1"/>
  <c r="L345"/>
  <c r="J344"/>
  <c r="K344" s="1"/>
  <c r="K342" s="1"/>
  <c r="M342" s="1"/>
  <c r="L342"/>
  <c r="J341"/>
  <c r="J340"/>
  <c r="K341" s="1"/>
  <c r="K338" s="1"/>
  <c r="M338" s="1"/>
  <c r="L350" s="1"/>
  <c r="L338"/>
  <c r="L335"/>
  <c r="K335"/>
  <c r="M335" s="1"/>
  <c r="L334"/>
  <c r="K334"/>
  <c r="M334" s="1"/>
  <c r="L333"/>
  <c r="K333"/>
  <c r="M333" s="1"/>
  <c r="L332"/>
  <c r="K332"/>
  <c r="M332" s="1"/>
  <c r="K331"/>
  <c r="J331"/>
  <c r="L329"/>
  <c r="K329"/>
  <c r="M329" s="1"/>
  <c r="L328"/>
  <c r="K328"/>
  <c r="M328" s="1"/>
  <c r="J327"/>
  <c r="J326"/>
  <c r="J325"/>
  <c r="J324"/>
  <c r="J323"/>
  <c r="K327" s="1"/>
  <c r="K321" s="1"/>
  <c r="M321" s="1"/>
  <c r="L321"/>
  <c r="J320"/>
  <c r="J319"/>
  <c r="J318"/>
  <c r="J317"/>
  <c r="K320" s="1"/>
  <c r="K315" s="1"/>
  <c r="M315" s="1"/>
  <c r="L315"/>
  <c r="J314"/>
  <c r="J313"/>
  <c r="J312"/>
  <c r="J311"/>
  <c r="J310"/>
  <c r="K314" s="1"/>
  <c r="K308" s="1"/>
  <c r="M308" s="1"/>
  <c r="L308"/>
  <c r="L305"/>
  <c r="K305"/>
  <c r="M305" s="1"/>
  <c r="L304"/>
  <c r="K304"/>
  <c r="M304" s="1"/>
  <c r="L303"/>
  <c r="K303"/>
  <c r="M303" s="1"/>
  <c r="L302"/>
  <c r="K302"/>
  <c r="M302" s="1"/>
  <c r="L306" s="1"/>
  <c r="L299"/>
  <c r="K299"/>
  <c r="M299" s="1"/>
  <c r="L298"/>
  <c r="K298"/>
  <c r="M298" s="1"/>
  <c r="L297"/>
  <c r="K297"/>
  <c r="M297" s="1"/>
  <c r="L296"/>
  <c r="K296"/>
  <c r="M296" s="1"/>
  <c r="L295"/>
  <c r="K295"/>
  <c r="M295" s="1"/>
  <c r="J294"/>
  <c r="J293"/>
  <c r="J292"/>
  <c r="K294" s="1"/>
  <c r="K290" s="1"/>
  <c r="M290" s="1"/>
  <c r="L290"/>
  <c r="J289"/>
  <c r="J288"/>
  <c r="K289" s="1"/>
  <c r="K286" s="1"/>
  <c r="M286" s="1"/>
  <c r="L286"/>
  <c r="L285"/>
  <c r="K285"/>
  <c r="M285" s="1"/>
  <c r="L284"/>
  <c r="K284"/>
  <c r="M284" s="1"/>
  <c r="J282"/>
  <c r="K283" s="1"/>
  <c r="K280" s="1"/>
  <c r="M280" s="1"/>
  <c r="L280"/>
  <c r="J279"/>
  <c r="J278"/>
  <c r="J277"/>
  <c r="J276"/>
  <c r="J275"/>
  <c r="J274"/>
  <c r="J273"/>
  <c r="J272"/>
  <c r="J271"/>
  <c r="J270"/>
  <c r="K279" s="1"/>
  <c r="K268" s="1"/>
  <c r="M268" s="1"/>
  <c r="L268"/>
  <c r="J267"/>
  <c r="J266"/>
  <c r="K267" s="1"/>
  <c r="K264" s="1"/>
  <c r="M264" s="1"/>
  <c r="L264"/>
  <c r="L263"/>
  <c r="K263"/>
  <c r="M263" s="1"/>
  <c r="J262"/>
  <c r="J261"/>
  <c r="J260"/>
  <c r="K262" s="1"/>
  <c r="K258" s="1"/>
  <c r="M258" s="1"/>
  <c r="L258"/>
  <c r="J257"/>
  <c r="J256"/>
  <c r="K257" s="1"/>
  <c r="K254" s="1"/>
  <c r="M254" s="1"/>
  <c r="L254"/>
  <c r="L253"/>
  <c r="K253"/>
  <c r="M253" s="1"/>
  <c r="J252"/>
  <c r="K252" s="1"/>
  <c r="K250" s="1"/>
  <c r="M250" s="1"/>
  <c r="L250"/>
  <c r="J249"/>
  <c r="J248"/>
  <c r="K249" s="1"/>
  <c r="K246" s="1"/>
  <c r="M246" s="1"/>
  <c r="L246"/>
  <c r="J245"/>
  <c r="J244"/>
  <c r="K245" s="1"/>
  <c r="K242" s="1"/>
  <c r="M242" s="1"/>
  <c r="L242"/>
  <c r="J241"/>
  <c r="J240"/>
  <c r="J239"/>
  <c r="J238"/>
  <c r="J237"/>
  <c r="K241" s="1"/>
  <c r="J235"/>
  <c r="K235" s="1"/>
  <c r="J233"/>
  <c r="J232"/>
  <c r="J231"/>
  <c r="K233" s="1"/>
  <c r="L229"/>
  <c r="L228"/>
  <c r="K228"/>
  <c r="M228" s="1"/>
  <c r="L227"/>
  <c r="K227"/>
  <c r="M227" s="1"/>
  <c r="J226"/>
  <c r="J225"/>
  <c r="K226" s="1"/>
  <c r="K223" s="1"/>
  <c r="M223" s="1"/>
  <c r="L223"/>
  <c r="L220"/>
  <c r="K220"/>
  <c r="M220" s="1"/>
  <c r="J218"/>
  <c r="K219" s="1"/>
  <c r="K216" s="1"/>
  <c r="M216" s="1"/>
  <c r="L216"/>
  <c r="L215"/>
  <c r="K215"/>
  <c r="M215" s="1"/>
  <c r="J214"/>
  <c r="J213"/>
  <c r="J212"/>
  <c r="J211"/>
  <c r="J210"/>
  <c r="J209"/>
  <c r="J208"/>
  <c r="J207"/>
  <c r="J206"/>
  <c r="J205"/>
  <c r="J204"/>
  <c r="J203"/>
  <c r="J202"/>
  <c r="J201"/>
  <c r="K214" s="1"/>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K199" s="1"/>
  <c r="K72" s="1"/>
  <c r="M72" s="1"/>
  <c r="L72"/>
  <c r="J71"/>
  <c r="J70"/>
  <c r="J69"/>
  <c r="J68"/>
  <c r="J67"/>
  <c r="J66"/>
  <c r="K71" s="1"/>
  <c r="K64" s="1"/>
  <c r="M64" s="1"/>
  <c r="L64"/>
  <c r="L60"/>
  <c r="K60"/>
  <c r="M60" s="1"/>
  <c r="L59"/>
  <c r="K59"/>
  <c r="M59" s="1"/>
  <c r="L58"/>
  <c r="K58"/>
  <c r="M58" s="1"/>
  <c r="L57"/>
  <c r="K57"/>
  <c r="M57" s="1"/>
  <c r="L56"/>
  <c r="K56"/>
  <c r="M56" s="1"/>
  <c r="K55"/>
  <c r="J54"/>
  <c r="L52"/>
  <c r="K52"/>
  <c r="M52" s="1"/>
  <c r="L51"/>
  <c r="K51"/>
  <c r="M51" s="1"/>
  <c r="L61" s="1"/>
  <c r="J48"/>
  <c r="K48" s="1"/>
  <c r="K46" s="1"/>
  <c r="M46" s="1"/>
  <c r="L46"/>
  <c r="J45"/>
  <c r="K45" s="1"/>
  <c r="K43" s="1"/>
  <c r="M43" s="1"/>
  <c r="L43"/>
  <c r="J42"/>
  <c r="J41"/>
  <c r="J40"/>
  <c r="K42" s="1"/>
  <c r="K38" s="1"/>
  <c r="M38" s="1"/>
  <c r="L38"/>
  <c r="L37"/>
  <c r="K37"/>
  <c r="M37" s="1"/>
  <c r="L36"/>
  <c r="K36"/>
  <c r="M36" s="1"/>
  <c r="J35"/>
  <c r="K35" s="1"/>
  <c r="K33" s="1"/>
  <c r="M33" s="1"/>
  <c r="L33"/>
  <c r="J32"/>
  <c r="J31"/>
  <c r="K32" s="1"/>
  <c r="K29" s="1"/>
  <c r="M29" s="1"/>
  <c r="L29"/>
  <c r="J28"/>
  <c r="J27"/>
  <c r="J26"/>
  <c r="K28" s="1"/>
  <c r="K24" s="1"/>
  <c r="M24" s="1"/>
  <c r="L24"/>
  <c r="J23"/>
  <c r="J22"/>
  <c r="K23" s="1"/>
  <c r="K20" s="1"/>
  <c r="M20" s="1"/>
  <c r="L20"/>
  <c r="J17"/>
  <c r="J16"/>
  <c r="K17" s="1"/>
  <c r="K14" s="1"/>
  <c r="M14" s="1"/>
  <c r="L14"/>
  <c r="L13"/>
  <c r="K13"/>
  <c r="M13" s="1"/>
  <c r="L12"/>
  <c r="K12"/>
  <c r="M12" s="1"/>
  <c r="L11"/>
  <c r="K11"/>
  <c r="M11" s="1"/>
  <c r="L10"/>
  <c r="K10"/>
  <c r="M10" s="1"/>
  <c r="L9"/>
  <c r="K9"/>
  <c r="M9" s="1"/>
  <c r="L8"/>
  <c r="K8"/>
  <c r="M8" s="1"/>
  <c r="L7"/>
  <c r="K7"/>
  <c r="M7" s="1"/>
  <c r="L18" s="1"/>
  <c r="M61" l="1"/>
  <c r="L50"/>
  <c r="M50" s="1"/>
  <c r="K229"/>
  <c r="M229" s="1"/>
  <c r="L336"/>
  <c r="M18"/>
  <c r="L6"/>
  <c r="M6" s="1"/>
  <c r="M306"/>
  <c r="L301"/>
  <c r="M301" s="1"/>
  <c r="M350"/>
  <c r="L337"/>
  <c r="M337" s="1"/>
  <c r="M361"/>
  <c r="L351"/>
  <c r="M351" s="1"/>
  <c r="M364"/>
  <c r="L362"/>
  <c r="M362" s="1"/>
  <c r="M367"/>
  <c r="L365"/>
  <c r="M365" s="1"/>
  <c r="L49"/>
  <c r="L221"/>
  <c r="L300"/>
  <c r="M221" l="1"/>
  <c r="L63"/>
  <c r="M63" s="1"/>
  <c r="M336"/>
  <c r="L307"/>
  <c r="M307" s="1"/>
  <c r="M300"/>
  <c r="L222"/>
  <c r="M222" s="1"/>
  <c r="M49"/>
  <c r="L19"/>
  <c r="M19" s="1"/>
  <c r="L62"/>
  <c r="M62" l="1"/>
  <c r="L368" s="1"/>
  <c r="L5"/>
  <c r="M5" s="1"/>
  <c r="L4" l="1"/>
  <c r="M4" s="1"/>
  <c r="M368"/>
</calcChain>
</file>

<file path=xl/sharedStrings.xml><?xml version="1.0" encoding="utf-8"?>
<sst xmlns="http://schemas.openxmlformats.org/spreadsheetml/2006/main" count="671" uniqueCount="671">
  <si>
    <t>Obra:</t>
  </si>
  <si>
    <t>BELLERA_PE_COMPLETO</t>
  </si>
  <si>
    <t>Presupuesto</t>
  </si>
  <si>
    <t>% C.I.</t>
  </si>
  <si>
    <t>Código</t>
  </si>
  <si>
    <t>Tipo</t>
  </si>
  <si>
    <t>Ud</t>
  </si>
  <si>
    <t>Resumen</t>
  </si>
  <si>
    <t>Cantidad</t>
  </si>
  <si>
    <t>Precio (€)</t>
  </si>
  <si>
    <t>Importe (€)</t>
  </si>
  <si>
    <t>BELLERA_PE_COMPLETO</t>
  </si>
  <si>
    <t>Capítulo</t>
  </si>
  <si>
    <t>IG</t>
  </si>
  <si>
    <t>Capítulo</t>
  </si>
  <si>
    <t>Iglesia de Benllera</t>
  </si>
  <si>
    <t>D</t>
  </si>
  <si>
    <t>Capítulo</t>
  </si>
  <si>
    <t>Demolicones y desmontajes</t>
  </si>
  <si>
    <t>D01</t>
  </si>
  <si>
    <t>Partida</t>
  </si>
  <si>
    <t>Ud</t>
  </si>
  <si>
    <t>Demolición de porche de la iglesia con medios mecánicos, con recuperación y paletizado de la teja árabe. Se protegerá con tableros de madera la puerta de la iglesia y su arco de piedra. Se incluye la carga a camión, transporte a vertedero autorizado así como el canon de tratamiento de residuos.</t>
  </si>
  <si>
    <t>D01b</t>
  </si>
  <si>
    <t>Partida</t>
  </si>
  <si>
    <t>Ud</t>
  </si>
  <si>
    <t>Demolición de tejadillo de la torre iglesia con medios manuales, con recuperación y paletizado de la teja árabe. Se retirará la cobertura de teja, capa impermeable, entablado y estructuras de madera de la torre. Se incluye la carga a camión, transporte a vertedero autorizado así como el canon de tratamiento de residuos.</t>
  </si>
  <si>
    <t>D01bb</t>
  </si>
  <si>
    <t>Partida</t>
  </si>
  <si>
    <t>Ud</t>
  </si>
  <si>
    <t>Desmontaje de albardilla de piedra y veleta de la torre de la iglesia con medios manuales. Se incluye la carga a camión, transporte a vertedero autorizado así como el canon de tratamiento de residuos. Medios auxiliares incluidos.</t>
  </si>
  <si>
    <t>D01bbb</t>
  </si>
  <si>
    <t>Partida</t>
  </si>
  <si>
    <t>Ud</t>
  </si>
  <si>
    <t>Demolición de muro piñon del campanario de la iglesia con medios manuales acopiando la piedra en la propia obra para su posterior uso. Incluye medios naturales y pp de residuos no aprovechables: vertido a contenedor, transporte y tratamiento.</t>
  </si>
  <si>
    <t>D01bbbb</t>
  </si>
  <si>
    <t>Partida</t>
  </si>
  <si>
    <t>Ud</t>
  </si>
  <si>
    <t>Desmontaje de balaustre metálico. Se entregará al Ayuntamiento de Carrocera una vez desmontado.</t>
  </si>
  <si>
    <t>D01bbbbb</t>
  </si>
  <si>
    <t>Partida</t>
  </si>
  <si>
    <t>Ud</t>
  </si>
  <si>
    <t>Picado de escalón de hormigón en masa en accesos a la torre. Se incluye la carga a camión, transporte a vertedero autorizado así como el canon de tratamiento de residuos.</t>
  </si>
  <si>
    <t>D01bbbbbc</t>
  </si>
  <si>
    <t>Partida</t>
  </si>
  <si>
    <t>Ud</t>
  </si>
  <si>
    <t>Apertura de roza para acometida eléctrica en muro de piedra, conducto d:63 y tapado de la roza con materiales idénticos.</t>
  </si>
  <si>
    <t>DRF010</t>
  </si>
  <si>
    <t>Partida</t>
  </si>
  <si>
    <t>m²</t>
  </si>
  <si>
    <t>Eliminación de enfoscado de cemento, aplicado sobre paramento vertical exterior de hasta 5 m de altura, con medios manuales, sin deteriorar la superficie soporte, que quedará al descubierto y preparada para su posterior revestimiento, y carga manual sobre camión o contenedor.</t>
  </si>
  <si>
    <t>Uds.</t>
  </si>
  <si>
    <t>Superficie</t>
  </si>
  <si>
    <t>Ancho</t>
  </si>
  <si>
    <t>Alto</t>
  </si>
  <si>
    <t>Parcial</t>
  </si>
  <si>
    <t>Subtotal</t>
  </si>
  <si>
    <t>Zonas con revocos</t>
  </si>
  <si>
    <t>Zona puerta pequeña</t>
  </si>
  <si>
    <t>D</t>
  </si>
  <si>
    <t>AA</t>
  </si>
  <si>
    <t>Capítulo</t>
  </si>
  <si>
    <t>Albañilería</t>
  </si>
  <si>
    <t>ECY010</t>
  </si>
  <si>
    <t>Partida</t>
  </si>
  <si>
    <t>m²</t>
  </si>
  <si>
    <t>Rejuntado: Aplicación manual mediante paleta de mortero, compuesto por cal hidráulica natural NHL 3,5, puzolanas, áridos seleccionados y otros aditivos, resistencia a compresión 5 N/mm², color tierra, de elevadas resistencias mecánicas y permeabilidad al vapor de agua, para relleno y reparación de juntas en muro de mampostería, en restauraciones estructurales, una vez el soporte esté saneado y libre de restos de trabajos anteriores.</t>
  </si>
  <si>
    <t>Uds.</t>
  </si>
  <si>
    <t>Largo</t>
  </si>
  <si>
    <t>Ancho</t>
  </si>
  <si>
    <t>Alto</t>
  </si>
  <si>
    <t>Parcial</t>
  </si>
  <si>
    <t>Subtotal</t>
  </si>
  <si>
    <t>Hastiales cinta corrida (incluye escaleras)</t>
  </si>
  <si>
    <t>Alzado</t>
  </si>
  <si>
    <t>RYP100</t>
  </si>
  <si>
    <t>Partida</t>
  </si>
  <si>
    <t>m²</t>
  </si>
  <si>
    <t>Limpieza de paramentos mediante proyección en seco de material abrasivo formado por partículas de silicato de aluminio (o arena), eliminando contaminantes, capa de mortero de cemento y partículas sueltas del soporte.</t>
  </si>
  <si>
    <t>Uds.</t>
  </si>
  <si>
    <t>Largo</t>
  </si>
  <si>
    <t>Ancho</t>
  </si>
  <si>
    <t>Alto</t>
  </si>
  <si>
    <t>Parcial</t>
  </si>
  <si>
    <t>Subtotal</t>
  </si>
  <si>
    <t>Puerta</t>
  </si>
  <si>
    <t>Hastiales cinta corrida (incluye escaleras)</t>
  </si>
  <si>
    <t>Alzado</t>
  </si>
  <si>
    <t>RMA020</t>
  </si>
  <si>
    <t>Partida</t>
  </si>
  <si>
    <t>m²</t>
  </si>
  <si>
    <t>Lasur al agua, para exteriores, incoloro, acabado mate, sobre superficie de carpintería de madera, preparación del soporte, mano de fondo acuoso protector, insecticida, fungicida y termicida (rendimiento: 0,22 l/m²) tipo Sirca y dos manos de acabado con lasur al agua a poro abierto Sirca G30 (rendimiento: 0,063 l/m² cada mano).</t>
  </si>
  <si>
    <t>Uds.</t>
  </si>
  <si>
    <t>Largo</t>
  </si>
  <si>
    <t>Ancho</t>
  </si>
  <si>
    <t>Alto</t>
  </si>
  <si>
    <t>Parcial</t>
  </si>
  <si>
    <t>Subtotal</t>
  </si>
  <si>
    <t>Puerta pequeña</t>
  </si>
  <si>
    <t>Puerta</t>
  </si>
  <si>
    <t>ECM010</t>
  </si>
  <si>
    <t>Partida</t>
  </si>
  <si>
    <t>m³</t>
  </si>
  <si>
    <t>Muro de mampostería ordinaria a dos caras vistas de canto rodado sacándole las caras y colocados con mortero de cemento y cal confeccionado en obra, con 250 kg/m³ de cemento, color blanco, dosificación 1:1:7, suministrado en sacos.</t>
  </si>
  <si>
    <t>Uds.</t>
  </si>
  <si>
    <t>Largo</t>
  </si>
  <si>
    <t>Ancho</t>
  </si>
  <si>
    <t>Alto</t>
  </si>
  <si>
    <t>Parcial</t>
  </si>
  <si>
    <t>Subtotal</t>
  </si>
  <si>
    <t>D01bbbbbb</t>
  </si>
  <si>
    <t>Partida</t>
  </si>
  <si>
    <t>m</t>
  </si>
  <si>
    <t>Sillar de piedra caliza tipo Suabar o similar para formación de peldaño macizo. Acabado apomazado.</t>
  </si>
  <si>
    <t>D01bbbbbbc</t>
  </si>
  <si>
    <t>Partida</t>
  </si>
  <si>
    <t>m</t>
  </si>
  <si>
    <t>Vierteaguas de piedra caliza tipo Suabar color gris, en varias piezas, anchura 40cm, 4cm, goterón acabado natural, canto irregular.</t>
  </si>
  <si>
    <t>EMV010</t>
  </si>
  <si>
    <t>Partida</t>
  </si>
  <si>
    <t>m³</t>
  </si>
  <si>
    <t>Viga de madera aserrada de pino silvestre (Pinus sylvestris), de 10x10 a 15x30 cm de sección y hasta 6 m de longitud, calidad estructural MEG, clase resistente C18, protección de la madera con clase de penetración NP2, trabajada en taller. Incluye formación de cabezuelas en pares y colocación completa en obra.</t>
  </si>
  <si>
    <t>Uds.</t>
  </si>
  <si>
    <t>Largo</t>
  </si>
  <si>
    <t>Ancho</t>
  </si>
  <si>
    <t>Alto</t>
  </si>
  <si>
    <t>Parcial</t>
  </si>
  <si>
    <t>Subtotal</t>
  </si>
  <si>
    <t>Viga principal</t>
  </si>
  <si>
    <t>Pares (con formación de cabezuela)</t>
  </si>
  <si>
    <t xml:space="preserve">Dintel </t>
  </si>
  <si>
    <t>QTT020qp</t>
  </si>
  <si>
    <t>Partida</t>
  </si>
  <si>
    <t>m²</t>
  </si>
  <si>
    <t>Cubierta inclinada de tejas cerámicas recuperadas de la propia obra, sobre espacio no habitable, con una pendiente media del 30%, compuesta de: formación de pendientes: tablas de madera de pino silvestre (Pinus sylvestris), bordes canteados, de 25 mm de espesor; impermeabilización: Lámina altamente transpirable, de polipropileno, con armadura, Traspir 135 "ROTHOBLAAS"; cobertura: teja cerámica curva recuperada, formación de alero con boquillas con mortero bastardo de cal color tierra y fijación de las piezas con grapas universales color teja, remate con paramento vertical mediante lima de zinc empotrado en el paramento. Remate lateral de teja cogido con mortero bastardo de cal color tierra.</t>
  </si>
  <si>
    <t>Uds.</t>
  </si>
  <si>
    <t>Largo</t>
  </si>
  <si>
    <t>Ancho</t>
  </si>
  <si>
    <t>Alto</t>
  </si>
  <si>
    <t>Parcial</t>
  </si>
  <si>
    <t>Subtotal</t>
  </si>
  <si>
    <t>Tejado</t>
  </si>
  <si>
    <t>D01bbbbbbb</t>
  </si>
  <si>
    <t>Partida</t>
  </si>
  <si>
    <t>m²</t>
  </si>
  <si>
    <t>Albardilla de losa de piedra caliza gris tipo Suabar serradas cara natural 80x30x4. Colocado sobre espadaña de la torre con cola C2TE S1 y anclaje mecánico mediante barilla roscada d:12mm con taco químico pieza a pieza.</t>
  </si>
  <si>
    <t>Uds.</t>
  </si>
  <si>
    <t>Largo</t>
  </si>
  <si>
    <t>Ancho</t>
  </si>
  <si>
    <t>Alto</t>
  </si>
  <si>
    <t>Parcial</t>
  </si>
  <si>
    <t>Subtotal</t>
  </si>
  <si>
    <t>AA</t>
  </si>
  <si>
    <t>AC</t>
  </si>
  <si>
    <t>Capítulo</t>
  </si>
  <si>
    <t>Cerrajería</t>
  </si>
  <si>
    <t>qp02</t>
  </si>
  <si>
    <t>Partida</t>
  </si>
  <si>
    <t>Ud</t>
  </si>
  <si>
    <t>Aldaba rústica a elegir tipo argolla (PVP:80€) diámetro 100mm para puerta de madera. Incluye colocación.</t>
  </si>
  <si>
    <t>UVR010</t>
  </si>
  <si>
    <t>Partida</t>
  </si>
  <si>
    <t>m</t>
  </si>
  <si>
    <t>Verja metálica compuesta por barrotes horizontales de pletina de perfil macizo de acero laminado en caliente de 50x10 mm y barrotes verticales de pletina de perfil macizo de acero laminado en caliente de 50x10 mm y 1,7 m de altura, con anclajes empotrados en dados de hormigón o muretes de fábrica u hormigón.   Imprimación anticorrosión y pintura texturada tipo Oxirón color marrón a definir por DF.</t>
  </si>
  <si>
    <t>Uds.</t>
  </si>
  <si>
    <t>Largo</t>
  </si>
  <si>
    <t>Ancho</t>
  </si>
  <si>
    <t>Alto</t>
  </si>
  <si>
    <t>Parcial</t>
  </si>
  <si>
    <t>Subtotal</t>
  </si>
  <si>
    <t>Acceso a campanario</t>
  </si>
  <si>
    <t>0</t>
  </si>
  <si>
    <t>QP003</t>
  </si>
  <si>
    <t>Partida</t>
  </si>
  <si>
    <t>Ud</t>
  </si>
  <si>
    <t>Cruz de pletinas de acero, según descripción gráfica del proyecto. Imprimación anticorrosión y pintura texturada tipo Oxirón color marrón a definir por DF.</t>
  </si>
  <si>
    <t>QP003b</t>
  </si>
  <si>
    <t>Partida</t>
  </si>
  <si>
    <t>Ud</t>
  </si>
  <si>
    <t>Puerta de chapa para cubrir contador eléctrico con pasador para su cierre, medidas según contador eléctrico. Imprimación anticorrosión y pintura color forja.</t>
  </si>
  <si>
    <t>LEM010qp</t>
  </si>
  <si>
    <t>Partida</t>
  </si>
  <si>
    <t>Ud</t>
  </si>
  <si>
    <t>Puerta de pino norte, realizad a medida con tamaño aproximado 2x1, para colocar en hueco de piedra existente. Acabada para barnizar en obra, montada con cerradura simple y todo lo necesario para dejarla en servicio. Se podrá utilizar puerta de tipo castellano recuperada de derribo si el contratista lo propone.</t>
  </si>
  <si>
    <t>CMAPQP</t>
  </si>
  <si>
    <t>Partida</t>
  </si>
  <si>
    <t>Ud</t>
  </si>
  <si>
    <t>Equipamiento de campana electrónica en una de las dos campanas de la iglesia, incluye todo lo necesario para su instalación. Cableado, ayudas de albañilería, cuadro de control en sacristía etc. Según presupuesto de Campanas Quintana: Cuadro eléctrico cofret tipo Gewss IP adecuado ala intemperia, aparamnta, toma de corriente y cableado integrado estéticamente. Martillo tipo E/10-110. Unidad interior BODET OPUS2, programada según constumbres del pueblo.</t>
  </si>
  <si>
    <t>Vaqp01</t>
  </si>
  <si>
    <t>Partida</t>
  </si>
  <si>
    <t>Ud</t>
  </si>
  <si>
    <t>Entramado de madera maciza tratada clase exposición IV para formación de balaustrada de campanario compuesto por una viga horizontal y otra vertical de 3m de longitud y dos travesaños a modo de diagonal y soporte vertical central. Tal y como se representa en la documentación gráfica del proyecto. Barnizada con pintura impregnante color oscuro.</t>
  </si>
  <si>
    <t>AC</t>
  </si>
  <si>
    <t>IG</t>
  </si>
  <si>
    <t>IF</t>
  </si>
  <si>
    <t>Capítulo</t>
  </si>
  <si>
    <t>Pavimentaciones</t>
  </si>
  <si>
    <t>RigQP</t>
  </si>
  <si>
    <t>Partida</t>
  </si>
  <si>
    <t>m</t>
  </si>
  <si>
    <t>Rigola de piedra caliza Suabar gris/roja 50% formada por cuatro hiladas de taco de mampostería 8-10. Colocados sobre base de hormigón no estructural (HNE-20/P/20) de 20 cm de espesor y rejuntado con mortero de cemento, industrial, M-5.</t>
  </si>
  <si>
    <t>Uds.</t>
  </si>
  <si>
    <t>Largo</t>
  </si>
  <si>
    <t>Ancho</t>
  </si>
  <si>
    <t>Alto</t>
  </si>
  <si>
    <t>Parcial</t>
  </si>
  <si>
    <t>Subtotal</t>
  </si>
  <si>
    <t>RigQPb</t>
  </si>
  <si>
    <t>Partida</t>
  </si>
  <si>
    <t>m</t>
  </si>
  <si>
    <t>Bordillo de piedra caliza Suabar gris/roja 50% formada una hilada de taco de mampostería 8-10. Colocado sobre base de hormigón no estructural (HNE-20/P/20) de 20 cm de espesor y rejuntado con mortero de cemento, industrial, M-5.</t>
  </si>
  <si>
    <t>Diagonales</t>
  </si>
  <si>
    <t>Uds.</t>
  </si>
  <si>
    <t>Largo</t>
  </si>
  <si>
    <t>Ancho</t>
  </si>
  <si>
    <t>Alto</t>
  </si>
  <si>
    <t>Parcial</t>
  </si>
  <si>
    <t>Subtotal</t>
  </si>
  <si>
    <t>Borde lateral</t>
  </si>
  <si>
    <t>Uds.</t>
  </si>
  <si>
    <t>Largo</t>
  </si>
  <si>
    <t>Ancho</t>
  </si>
  <si>
    <t>Alto</t>
  </si>
  <si>
    <t>Parcial</t>
  </si>
  <si>
    <t>Subtotal</t>
  </si>
  <si>
    <t>ANS010qp</t>
  </si>
  <si>
    <t>Partida</t>
  </si>
  <si>
    <t>m²</t>
  </si>
  <si>
    <t>Solera de hormigón en masa de 15 cm de espesor, realizada con hormigón HM-25/B/20/I fabricado en central y vertido desde camión, extendido y vibrado manual mediante regla vibrante, con acabado superficial peinado tipo "How I broom finish concrete (part 2 of 2) Mike Haduck" y posterior aplicación de líquido de curado incoloro, (0,15 l/m²). Con juntas de retracción de 5 mm de espesor, mediante corte con disco de diamante. Incluso panel de poliestireno expandido de 3 cm de espesor, para la ejecución de juntas de dilatación.</t>
  </si>
  <si>
    <t>ANS010</t>
  </si>
  <si>
    <t>Partida</t>
  </si>
  <si>
    <t>m²</t>
  </si>
  <si>
    <t>Solera de hormigón armado con cemento blanco de 15 cm de espesor, realizada con hormigón HA-25/B/40/IIa (fabricado en central empleando áridos calizos "color gris/rojo" machacados tamaño hasta 40mm), y vertido desde camión, sobre lámina de polietileno y malla electrosoldada ME 15x15 Ø 6-6 B 500 T 6x2,20 UNE-EN 10080 como armadura de reparto, colocada sobre separadores homologados, extendido y vibrado manual mediante regla vibrante, con acabado superficial desactivado mediante la aplicación de líquido desactivante y chorreado con agua a presión en las zonas marcadas en la descripción gráfica del proyecto. Con juntas de retracción de 12mm de espesor, mediante madera impregnada tratada clase IV colocada a modo de maestras antes del lavado y juntas de retracción de 5 mm de espesor, mediante corte con disco de diamante.</t>
  </si>
  <si>
    <t>Uds.</t>
  </si>
  <si>
    <t>Largo</t>
  </si>
  <si>
    <t>Ancho</t>
  </si>
  <si>
    <t>Alto</t>
  </si>
  <si>
    <t>Parcial</t>
  </si>
  <si>
    <t>Subtotal</t>
  </si>
  <si>
    <t>Solera central</t>
  </si>
  <si>
    <t>0</t>
  </si>
  <si>
    <t>UJP010</t>
  </si>
  <si>
    <t>Partida</t>
  </si>
  <si>
    <t>Ud</t>
  </si>
  <si>
    <t>Suministro, plantación y abonado de árbol de hoja caduca de 18/20 cm de grosor “Tilia Platyphyllos” de 18 a 20 cm. de perímetro de tronco. Suministrado a raíz desnuda y plantación en hoyo de 1x1x1 m., incluso apertura del mismo con los medios indicados, abonado, tierras y primer riego. Entutorado triple de árbol, realizado mediante tres estacas de madera tratada clase IV, clavadas verticalmente en el fondo del hoyo de plantación, sujetando al tronco del árbol cada una de ellas mediante un cinturón elástico de goma, regulable, de 4 cm de anchura.</t>
  </si>
  <si>
    <t>IF</t>
  </si>
  <si>
    <t>PV</t>
  </si>
  <si>
    <t>Capítulo</t>
  </si>
  <si>
    <t>Obra civil</t>
  </si>
  <si>
    <t>DMX021</t>
  </si>
  <si>
    <t>Partida</t>
  </si>
  <si>
    <t>m²</t>
  </si>
  <si>
    <t>Demolición de solera o pavimento de hormigón en masa de 15 a 25 cm de espesor, mediante retroexcavadora con martillo rompedor, y carga mecánica sobre camión o contenedor.</t>
  </si>
  <si>
    <t>Uds.</t>
  </si>
  <si>
    <t>Largo</t>
  </si>
  <si>
    <t>Ancho</t>
  </si>
  <si>
    <t>Alto</t>
  </si>
  <si>
    <t>Parcial</t>
  </si>
  <si>
    <t>Subtotal</t>
  </si>
  <si>
    <t>Ámbito de actuación</t>
  </si>
  <si>
    <t>Zona no dibujada</t>
  </si>
  <si>
    <t>GRA020</t>
  </si>
  <si>
    <t>Partida</t>
  </si>
  <si>
    <t>m³</t>
  </si>
  <si>
    <t>Transporte con camión de residuos inertes de hormigones, morteros y prefabricados producidos en obras de construcción y/o demolición, a vertedero específico, instalación de tratamiento de residuos de construcción y demolición externa a la obra o centro de valorización o eliminación de residuos, situado a 20 km de distancia.</t>
  </si>
  <si>
    <t>GRB020</t>
  </si>
  <si>
    <t>Partida</t>
  </si>
  <si>
    <t>m³</t>
  </si>
  <si>
    <t>Canon de vertido por entrega de residuos inertes de hormigones, morteros y prefabricados producidos en obras de construcción y/o demolición, en vertedero específico, instalación de tratamiento de residuos de construcción y demolición externa a la obra o centro de valorización o eliminación de residuos.</t>
  </si>
  <si>
    <t>ADE010</t>
  </si>
  <si>
    <t>Partida</t>
  </si>
  <si>
    <t>m³</t>
  </si>
  <si>
    <t>Excavación de zanjas para instalaciones hasta una profundidad de 2 m, en cualquier tipo de terreno, con medios mecánicos, y carga a camión.</t>
  </si>
  <si>
    <t>Suministro eléctrico</t>
  </si>
  <si>
    <t>Uds.</t>
  </si>
  <si>
    <t>Largo</t>
  </si>
  <si>
    <t>Ancho</t>
  </si>
  <si>
    <t>Alto</t>
  </si>
  <si>
    <t>Parcial</t>
  </si>
  <si>
    <t>Subtotal</t>
  </si>
  <si>
    <t>Línea general</t>
  </si>
  <si>
    <t>Derivación general</t>
  </si>
  <si>
    <t>Acometidas varias</t>
  </si>
  <si>
    <t>Saneamiento</t>
  </si>
  <si>
    <t>Uds.</t>
  </si>
  <si>
    <t>Largo</t>
  </si>
  <si>
    <t>Ancho</t>
  </si>
  <si>
    <t>Alto</t>
  </si>
  <si>
    <t>Parcial</t>
  </si>
  <si>
    <t>Subtotal</t>
  </si>
  <si>
    <t>Sumideros</t>
  </si>
  <si>
    <t>Alumbrado público</t>
  </si>
  <si>
    <t>Uds.</t>
  </si>
  <si>
    <t>Largo</t>
  </si>
  <si>
    <t>Ancho</t>
  </si>
  <si>
    <t>Alto</t>
  </si>
  <si>
    <t>Parcial</t>
  </si>
  <si>
    <t>Subtotal</t>
  </si>
  <si>
    <t>Linea general</t>
  </si>
  <si>
    <t>Linea general</t>
  </si>
  <si>
    <t>Instalación enterrada</t>
  </si>
  <si>
    <t>Instalación enterrada</t>
  </si>
  <si>
    <t>Instalación enterrada</t>
  </si>
  <si>
    <t>ADR030</t>
  </si>
  <si>
    <t>Partida</t>
  </si>
  <si>
    <t>m³</t>
  </si>
  <si>
    <t>Base de pavimento realizada mediante relleno a cielo abierto, con zahorra artificial caliza, y compactación en tongadas sucesivas de 30 cm de espesor máximo con compactador monocilíndrico vibrante autopropulsado, hasta alcanzar una densidad seca no inferior al 95% de la máxima obtenida en el ensayo Proctor Modificado, realizado según UNE 103501.</t>
  </si>
  <si>
    <t>Uds.</t>
  </si>
  <si>
    <t>Largo</t>
  </si>
  <si>
    <t>Ancho</t>
  </si>
  <si>
    <t>Alto</t>
  </si>
  <si>
    <t>Parcial</t>
  </si>
  <si>
    <t>Subtotal</t>
  </si>
  <si>
    <t>Superficie a pavimentar</t>
  </si>
  <si>
    <t>Zona no dibujada</t>
  </si>
  <si>
    <t>IEO010</t>
  </si>
  <si>
    <t>Partida</t>
  </si>
  <si>
    <t>m</t>
  </si>
  <si>
    <t>Suministro e instalación enterrada de canalización de tubo curvable, suministrado en rollo, de polietileno de doble pared (interior lisa y exterior corrugada), de color naranja, de 2x160 mm 1+R de diámetro nominal, resistencia a la compresión 450 N, colocado sobre lecho de arena de 5 cm de espesor, debidamente compactada y nivelada con pisón vibrante de guiado manual, relleno lateral compactando hasta los riñones y posterior relleno con la misma arena hasta 10 cm por encima de la generatriz superior de la tubería. Incluso cinta de señalización.</t>
  </si>
  <si>
    <t>Uds.</t>
  </si>
  <si>
    <t>Largo</t>
  </si>
  <si>
    <t>Ancho</t>
  </si>
  <si>
    <t>Alto</t>
  </si>
  <si>
    <t>Parcial</t>
  </si>
  <si>
    <t>Subtotal</t>
  </si>
  <si>
    <t>Línea general</t>
  </si>
  <si>
    <t>Derivación general</t>
  </si>
  <si>
    <t>IEO010b</t>
  </si>
  <si>
    <t>Partida</t>
  </si>
  <si>
    <t>m</t>
  </si>
  <si>
    <t>Suministro e instalación enterrada de canalización de tubo curvable, suministrado en rollo, de polietileno de doble pared (interior lisa y exterior corrugada), de color naranja, de 2x63 mm de diámetro nominal, resistencia a la compresión 450 N, colocado sobre lecho de arena de 5 cm de espesor, debidamente compactada y nivelada con pisón vibrante de guiado manual, relleno lateral compactando hasta los riñones y posterior relleno con la misma arena hasta 10 cm por encima de la generatriz superior de la tubería. Incluso cinta de señalización.</t>
  </si>
  <si>
    <t>Uds.</t>
  </si>
  <si>
    <t>Largo</t>
  </si>
  <si>
    <t>Ancho</t>
  </si>
  <si>
    <t>Alto</t>
  </si>
  <si>
    <t>Parcial</t>
  </si>
  <si>
    <t>Subtotal</t>
  </si>
  <si>
    <t>Acometidas varias</t>
  </si>
  <si>
    <t>UIA010qp</t>
  </si>
  <si>
    <t>Partida</t>
  </si>
  <si>
    <t>Ud</t>
  </si>
  <si>
    <t>Arqueta de conexión eléctrica, prefabricada de hormigón homologada según Unión Fenosa en medidas aproximadas (727x535) incluso tapa de fundición según compañía suministradora, con paredes rebajadas para la entrada de tubos. La tapa cumplirá con Norma UNE EN124 y estará dotada de sistemas antiruido. Se incluye pp de recibido de tubos.</t>
  </si>
  <si>
    <t>IEO010e</t>
  </si>
  <si>
    <t>Partida</t>
  </si>
  <si>
    <t>m</t>
  </si>
  <si>
    <t>Suministro e instalación enterrada de canalización de tubo curvable, suministrado en rollo, de polietileno de doble pared (interior lisa y exterior corrugada), de color naranja, de 2x90 mm de diámetro nominal, resistencia a la compresión 450 N, colocado sobre lecho de arena de 5 cm de espesor, debidamente compactada y nivelada con pisón vibrante de guiado manual, relleno lateral compactando hasta los riñones y posterior relleno con la misma arena hasta 10 cm por encima de la generatriz superior de la tubería. Incluso cinta de señalización.</t>
  </si>
  <si>
    <t>Uds.</t>
  </si>
  <si>
    <t>Largo</t>
  </si>
  <si>
    <t>Ancho</t>
  </si>
  <si>
    <t>Alto</t>
  </si>
  <si>
    <t>Parcial</t>
  </si>
  <si>
    <t>Subtotal</t>
  </si>
  <si>
    <t>Linea general</t>
  </si>
  <si>
    <t>Linea general</t>
  </si>
  <si>
    <t>IEO010f</t>
  </si>
  <si>
    <t>Partida</t>
  </si>
  <si>
    <t>m</t>
  </si>
  <si>
    <t>Suministro e instalación enterrada de canalización de tubo curvable, suministrado en rollo, de polietileno de doble pared (interior lisa y exterior corrugada), de color naranja, de 40 mm de diámetro nominal, resistencia a la compresión 250 N, colocado sobre solera de hormigón no estructural HNE-15/B/20 de 5 cm de espesor y posterior relleno con el mismo hormigón hasta 10 cm por encima de la generatriz superior de la tubería.</t>
  </si>
  <si>
    <t>Uds.</t>
  </si>
  <si>
    <t>Largo</t>
  </si>
  <si>
    <t>Ancho</t>
  </si>
  <si>
    <t>Alto</t>
  </si>
  <si>
    <t>Parcial</t>
  </si>
  <si>
    <t>Subtotal</t>
  </si>
  <si>
    <t>Instalación enterrada</t>
  </si>
  <si>
    <t>Instalación enterrada</t>
  </si>
  <si>
    <t>Instalación enterrada</t>
  </si>
  <si>
    <t>UIA010</t>
  </si>
  <si>
    <t>Partida</t>
  </si>
  <si>
    <t>Ud</t>
  </si>
  <si>
    <t>Arqueta de conexión eléctrica, prefabricada de hormigón, sin fondo, registrable, de 30x30x30 cm de medidas interiores, con paredes rebajadas para la entrada de tubos, capaz de soportar una carga de 400 kN, con marco de chapa galvanizada y tapa de hormigón armado aligerado, de 39,5x38,5 cm, para arqueta de conexión eléctrica, capaz de soportar una carga de 125 kN.</t>
  </si>
  <si>
    <t>ubica01</t>
  </si>
  <si>
    <t>Partida</t>
  </si>
  <si>
    <t>Ud</t>
  </si>
  <si>
    <t>Paso de enterrado a aereo. Tubo de PVC de 90 mm, anclado a pared para paso de linea electrica o de alumbrado de subterranea a aérea, cumpliendo normativa de la compañia suministradora, totalmente terminado para cablear.</t>
  </si>
  <si>
    <t>Uds.</t>
  </si>
  <si>
    <t>Largo</t>
  </si>
  <si>
    <t>Ancho</t>
  </si>
  <si>
    <t>Alto</t>
  </si>
  <si>
    <t>Parcial</t>
  </si>
  <si>
    <t>Subtotal</t>
  </si>
  <si>
    <t>Suministro</t>
  </si>
  <si>
    <t>Alumbrado</t>
  </si>
  <si>
    <t>ADR010b</t>
  </si>
  <si>
    <t>Partida</t>
  </si>
  <si>
    <t>m³</t>
  </si>
  <si>
    <t>Relleno principal de zanjas para instalaciones, con tierra seleccionada procedente de la propia excavación y compactación en tongadas sucesivas de 20 cm de espesor máximo con bandeja vibrante de guiado manual, hasta alcanzar una densidad seca no inferior al 95% de la máxima obtenida en el ensayo Proctor Modificado, realizado según UNE 103501. Incluso cinta o distintivo indicador de la instalación.</t>
  </si>
  <si>
    <t>Uds.</t>
  </si>
  <si>
    <t>Largo</t>
  </si>
  <si>
    <t>Ancho</t>
  </si>
  <si>
    <t>Alto</t>
  </si>
  <si>
    <t>Parcial</t>
  </si>
  <si>
    <t>Subtotal</t>
  </si>
  <si>
    <t>Línea general</t>
  </si>
  <si>
    <t>Derivación general</t>
  </si>
  <si>
    <t>Acometidas varias</t>
  </si>
  <si>
    <t>Sumideros</t>
  </si>
  <si>
    <t>Colector</t>
  </si>
  <si>
    <t>Linea general</t>
  </si>
  <si>
    <t>Linea general</t>
  </si>
  <si>
    <t>Instalación enterrada</t>
  </si>
  <si>
    <t>Instalación enterrada</t>
  </si>
  <si>
    <t>Instalación enterrada</t>
  </si>
  <si>
    <t>CHH005</t>
  </si>
  <si>
    <t>Partida</t>
  </si>
  <si>
    <t>m³</t>
  </si>
  <si>
    <t>Hormigón HL-150/B/20, fabricado en central y vertido desde camión, para formación de capa de hormigón de limpieza y nivelado de fondos de cimentación, en el fondo de la excavación previamente realizada.</t>
  </si>
  <si>
    <t>Uds.</t>
  </si>
  <si>
    <t>Superficie</t>
  </si>
  <si>
    <t>Ancho</t>
  </si>
  <si>
    <t>Alto</t>
  </si>
  <si>
    <t>Parcial</t>
  </si>
  <si>
    <t>Subtotal</t>
  </si>
  <si>
    <t>Suministro</t>
  </si>
  <si>
    <t>Alumbrado</t>
  </si>
  <si>
    <t>0</t>
  </si>
  <si>
    <t>UAI020</t>
  </si>
  <si>
    <t>Partida</t>
  </si>
  <si>
    <t>Ud</t>
  </si>
  <si>
    <t>Imbornal prefabricado de hormigón, de 50x30x60 cm.</t>
  </si>
  <si>
    <t>ASI050</t>
  </si>
  <si>
    <t>Partida</t>
  </si>
  <si>
    <t>m</t>
  </si>
  <si>
    <t>Canaleta prefabricada de polipropileno, en tramos de 1000 mm de longitud, 130 mm de anchura y 98 mm de altura, con rejilla de fundición dúctil clase B-125 según UNE-EN 124 y UNE-EN 1433, colocada sobre solera de hormigón en masa HM-20/B/20/I de 10 cm de espesor. Incluso accesorios de montaje, piezas especiales y elementos de sujeción.</t>
  </si>
  <si>
    <t>UBICA02</t>
  </si>
  <si>
    <t>Partida</t>
  </si>
  <si>
    <t>Ud</t>
  </si>
  <si>
    <t>Conexión a saneamiento: Suministro y colocación de entronque clip elastomérico a 90º en enlace de acometidas y sumideros, para enlaces de tuberías de PVC de 160 y 200 entroncadas a tuberías de 315/400/500 y a pozos de registro, totalmente instalado.</t>
  </si>
  <si>
    <t>Uds.</t>
  </si>
  <si>
    <t>Largo</t>
  </si>
  <si>
    <t>Ancho</t>
  </si>
  <si>
    <t>Alto</t>
  </si>
  <si>
    <t>Parcial</t>
  </si>
  <si>
    <t>Subtotal</t>
  </si>
  <si>
    <t>Sumideros</t>
  </si>
  <si>
    <t>Rejillas</t>
  </si>
  <si>
    <t>UAC010</t>
  </si>
  <si>
    <t>Partida</t>
  </si>
  <si>
    <t>m</t>
  </si>
  <si>
    <t>Suministro y colocación sobre cama de arena, de colector enterrado en terreno no agresivo, de tubo de polipropileno doble pared corrugado color teja exterior y liso interior, color teja, rigidez SN8 kN/m2 y diámetro 160 mm.</t>
  </si>
  <si>
    <t>Uds.</t>
  </si>
  <si>
    <t>Largo</t>
  </si>
  <si>
    <t>Ancho</t>
  </si>
  <si>
    <t>Alto</t>
  </si>
  <si>
    <t>Parcial</t>
  </si>
  <si>
    <t>Subtotal</t>
  </si>
  <si>
    <t>Principales</t>
  </si>
  <si>
    <t xml:space="preserve">Ramales </t>
  </si>
  <si>
    <t>ubica2</t>
  </si>
  <si>
    <t>Partida</t>
  </si>
  <si>
    <t>Ud</t>
  </si>
  <si>
    <t>Pozo de registro completo de 110 cm. de diámetro interior y altura útil interior igual o menor de 3,00 m., construido con hormigón en masa HM-20/P/40/l, incluso con p.p. de formación de canal en el fondo del pozo y formación de brocal simétrico en la coronación, para recibir el cerco y la tapa de de hierro fundido D-400, incluso colocación de pates en pozos de más de 1,40 m. de altura, encofrado metálico a dos caras, excavación con transporte de material sobrante a Gestor Autorizado y relleno perimetral de sobre excavación con gravilla 10/12, totalmente terminado.</t>
  </si>
  <si>
    <t>IFA010</t>
  </si>
  <si>
    <t>Partida</t>
  </si>
  <si>
    <t>Ud</t>
  </si>
  <si>
    <t>Arqueta y acometida enterrada de abastecimiento de agua potable de 5 m de longitud, formada por tubo de polietileno PE 100, de 32 mm de diámetro exterior, PN=10 atm y 2 mm de espesor y llave de corte alojada en arqueta de obra de fábrica.</t>
  </si>
  <si>
    <t>URD010</t>
  </si>
  <si>
    <t>Partida</t>
  </si>
  <si>
    <t>m</t>
  </si>
  <si>
    <t>Tubería de abastecimiento y distribución de agua de riego formada por tubo de polietileno PE 40 de color negro con bandas azules, de 40 mm de diámetro exterior y 5,5 mm de espesor, PN=10 atm, enterrada.</t>
  </si>
  <si>
    <t>URE010</t>
  </si>
  <si>
    <t>Partida</t>
  </si>
  <si>
    <t>Ud</t>
  </si>
  <si>
    <t>Boca de riego de fundición, con racor de salida roscado macho de 1 1/2" de diámetro.</t>
  </si>
  <si>
    <t>UIA010qpb</t>
  </si>
  <si>
    <t>Partida</t>
  </si>
  <si>
    <t>Ud</t>
  </si>
  <si>
    <t>Levantado de tapa de arqueta o tapa existentes a la nueva cota de la pavimentación con hormigón HM20 realizado en obra.</t>
  </si>
  <si>
    <t>PV</t>
  </si>
  <si>
    <t>SN</t>
  </si>
  <si>
    <t>Capítulo</t>
  </si>
  <si>
    <t>Señalética y equipamiento</t>
  </si>
  <si>
    <t>snqp01</t>
  </si>
  <si>
    <t>Partida</t>
  </si>
  <si>
    <t>Ud</t>
  </si>
  <si>
    <t>Señal "tipo" de madera de alerce dimensiones según memoria de señalética. Con placa de anclaje de acero, soldado, imprimado anticorrosión y lacado en horno. Tornillería de acero inoxidable. Anclado a pavimento existente de hormigón mediante varrillas roscadas de sección 16mm ancladas químicamente. Placa de aluminio tipo DIBOND con impresión digital anti-bandálica diseño a definir por DF, color base estándar.</t>
  </si>
  <si>
    <t>snqp01c</t>
  </si>
  <si>
    <t>Partida</t>
  </si>
  <si>
    <t>Ud</t>
  </si>
  <si>
    <t>Señal "rutas" de madera de alerce dimensiones según memoria de señalética. Con placa de anclaje de acero, soldado, imprimado anticorrosión y lacado en horno. Tornillería de acero inoxidable. Anclado a pavimento existente de hormigón mediante varrillas roscadas de sección 16mm ancladas químicamente. Placa de aluminio tipo DIBOND con impresión digital anti-bandálica diseño a definir por DF y troquelada, vidrio laminado, iluminación LED y chapa posterior de DIBOND con acceso para mantenimiento, color base estándar. Incorpora manguera metálica, fluxor y llave de metálica.</t>
  </si>
  <si>
    <t>snqp01bb</t>
  </si>
  <si>
    <t>Partida</t>
  </si>
  <si>
    <t>Ud</t>
  </si>
  <si>
    <t>Hito para aparcar bicicletas realizado en chapa de acero 5x1cm según documentación gráfica del proyecto.Imprimación anticorrosión y pintura texturada tipo Oxirón color marrón a definir por DF. Atornillado a solera de hormigón.</t>
  </si>
  <si>
    <t>snqp01b</t>
  </si>
  <si>
    <t>Partida</t>
  </si>
  <si>
    <t>Ud</t>
  </si>
  <si>
    <t>Suministro y colocación de bomba exterior adquirida en IBOMBO.COM: IBOMBO PRS-sV1 station (stainless steel) – standard, 4 x anti-theft screws with unique key, RAL 9005, 3 swivels, Steel hose, Elegant pump piston. Con logotipos del Ayuntamiento de Carrocera.</t>
  </si>
  <si>
    <t>SN</t>
  </si>
  <si>
    <t>PB</t>
  </si>
  <si>
    <t>Capítulo</t>
  </si>
  <si>
    <t>Pilón</t>
  </si>
  <si>
    <t>DRF010b</t>
  </si>
  <si>
    <t>Partida</t>
  </si>
  <si>
    <t>m²</t>
  </si>
  <si>
    <t>Eliminación de enfoscado de cemento y partes sueltas, con medios manuales, y carga manual de escombros sobre camión o contenedor. Se eliminará todo el enfoscado o "pegotes" que esté suelto así como se abrirán las fisuras o coqueras que se aprecien en el pilón.</t>
  </si>
  <si>
    <t>Uds.</t>
  </si>
  <si>
    <t>Largo</t>
  </si>
  <si>
    <t>Ancho</t>
  </si>
  <si>
    <t>Alto</t>
  </si>
  <si>
    <t>Parcial</t>
  </si>
  <si>
    <t>Subtotal</t>
  </si>
  <si>
    <t>Paredes</t>
  </si>
  <si>
    <t>Fondos</t>
  </si>
  <si>
    <t>Curva</t>
  </si>
  <si>
    <t>Fondo</t>
  </si>
  <si>
    <t>Fondo general</t>
  </si>
  <si>
    <t>RPE010</t>
  </si>
  <si>
    <t>Partida</t>
  </si>
  <si>
    <t>m²</t>
  </si>
  <si>
    <t>Enfoscado de cemento y arena aplicado en dos capas, primera acabado a buena vista para cubrir huecos, grietas y oquedades, segunda acabado superficial fratasado, ambas con mortero de cemento aditivado con latex e hidrofugante, armado y reforzado con malla antiálcalis (malla PVC azul) embutida en fresco sobre la primera capa de mortero antes de aplicar la segunda.</t>
  </si>
  <si>
    <t>Uds.</t>
  </si>
  <si>
    <t>Largo</t>
  </si>
  <si>
    <t>Ancho</t>
  </si>
  <si>
    <t>Alto</t>
  </si>
  <si>
    <t>Parcial</t>
  </si>
  <si>
    <t>Subtotal</t>
  </si>
  <si>
    <t>Paredes</t>
  </si>
  <si>
    <t>Fondos</t>
  </si>
  <si>
    <t>Curva</t>
  </si>
  <si>
    <t>Fondo</t>
  </si>
  <si>
    <t>webb</t>
  </si>
  <si>
    <t>Partida</t>
  </si>
  <si>
    <t>m2</t>
  </si>
  <si>
    <t>Mortero impermeable dos capas: weber.tec imperflex 2C, aplicado sobre el pilón previamente limpio y con el soporte seco. Mezclado exclusivamente con el propio producto, sin añadidos de ningún tipo. Expesor máximo de aplicación 2mm cada capa humedeciendo el soporte si está seco cuando este tenga aspecto mate. Se aplican dos capas de 2mm cada una con una malla antialcalina 4x4mm entre ellas embutida en fresco y no visible tras la segunda capa con 4h de diferencia entre aplicaciones.</t>
  </si>
  <si>
    <t>Uds.</t>
  </si>
  <si>
    <t>Largo</t>
  </si>
  <si>
    <t>Ancho</t>
  </si>
  <si>
    <t>Alto</t>
  </si>
  <si>
    <t>Parcial</t>
  </si>
  <si>
    <t>Subtotal</t>
  </si>
  <si>
    <t>Paredes</t>
  </si>
  <si>
    <t>Fondos</t>
  </si>
  <si>
    <t>Curva</t>
  </si>
  <si>
    <t>Interior</t>
  </si>
  <si>
    <t>Fondo general</t>
  </si>
  <si>
    <t>tub</t>
  </si>
  <si>
    <t>Partida</t>
  </si>
  <si>
    <t>Ud</t>
  </si>
  <si>
    <t>Tubo de acero, bordes redondeados y diámetro interior 25mm. L=30cm. para hacer los saltos de agua del pilón. Totalmente instalado y funcionando.</t>
  </si>
  <si>
    <t>QP01b</t>
  </si>
  <si>
    <t>Partida</t>
  </si>
  <si>
    <t>m³</t>
  </si>
  <si>
    <t>Suministro y vertido de cantos rodados colocados en el fondo del pilón con unas dimensioens regulares de 50/70mm en dos capas. Se colocarán en el fondo cuidando de no dañar el mortero impermeable en dos capas.</t>
  </si>
  <si>
    <t>Uds.</t>
  </si>
  <si>
    <t>Largo</t>
  </si>
  <si>
    <t>Ancho</t>
  </si>
  <si>
    <t>Alto</t>
  </si>
  <si>
    <t>Parcial</t>
  </si>
  <si>
    <t>Subtotal</t>
  </si>
  <si>
    <t>Fondos</t>
  </si>
  <si>
    <t>tubb</t>
  </si>
  <si>
    <t>Partida</t>
  </si>
  <si>
    <t>Ud</t>
  </si>
  <si>
    <t>Tubo de PVC rígido y tapón para vaciado de pilón empotrado en el pilón con salida canalizada a red de evacuación o vía pública en d:90. Ayudas de albañilería incluidas.</t>
  </si>
  <si>
    <t>IFW030</t>
  </si>
  <si>
    <t>Partida</t>
  </si>
  <si>
    <t>Ud</t>
  </si>
  <si>
    <t>Grifo de latón para jardín o terraza, con racor de conexión a manguera, de 32mm de diámetro.</t>
  </si>
  <si>
    <t>IEO010d</t>
  </si>
  <si>
    <t>Partida</t>
  </si>
  <si>
    <t>m</t>
  </si>
  <si>
    <t>Suministro e instalación empotrada en elemento de construcción de obra de fábrica de canalización de tubo curvable de PVC, transversalmente elástico, corrugado, forrado, de color negro, de 25 mm de diámetro nominal, resistencia a la compresión 320 N, con grado de protección IP547.</t>
  </si>
  <si>
    <t>UVR010b</t>
  </si>
  <si>
    <t>Partida</t>
  </si>
  <si>
    <t>m</t>
  </si>
  <si>
    <t>Reja metálica compuesta por barrotes horizontales de pletina de perfil macizo de acero laminado en caliente de 50x10 mm y barrotes verticales de pletina de perfil macizo de acero laminado en caliente de 50x10 mm y 0,7 m de altura, con pletinas haciendo la formación de pendiente a ambos lados y atornillada al hormigón existente.</t>
  </si>
  <si>
    <t>PB</t>
  </si>
  <si>
    <t>PBL</t>
  </si>
  <si>
    <t>Capítulo</t>
  </si>
  <si>
    <t>Pontón de Benllera</t>
  </si>
  <si>
    <t>ECM010b</t>
  </si>
  <si>
    <t>Partida</t>
  </si>
  <si>
    <t>m³</t>
  </si>
  <si>
    <t>Muro de mampostería ordinaria a dos caras vistas de canto rodado sacándole las caras y colocados con mortero de cemento y cal confeccionado en obra, con 250 kg/m³ de cemento, color blanco, dosificación 1:1:7, suministrado en sacos.</t>
  </si>
  <si>
    <t>Uds.</t>
  </si>
  <si>
    <t>Largo</t>
  </si>
  <si>
    <t>Ancho</t>
  </si>
  <si>
    <t>Alto</t>
  </si>
  <si>
    <t>Parcial</t>
  </si>
  <si>
    <t>Subtotal</t>
  </si>
  <si>
    <t>Murete del pontón</t>
  </si>
  <si>
    <t>Murete contra el muro del pilón</t>
  </si>
  <si>
    <t>UXP010</t>
  </si>
  <si>
    <t>Partida</t>
  </si>
  <si>
    <t>m²</t>
  </si>
  <si>
    <t>Pavimento de piedra natural caliza Suabar en taco de mampostería cortado gris/rojo 50%. Recibidas sobre soporte existente de hormigón mediante la preparación del mismo punteándolo con un martillo neumático para generar una superficie de agarre del mortero de cemento cola elástico en capa de 1 cm tipo CET2S1, junta de 5mm rejuntadas con lechada de cemento blanco BL 22,5 X. En las zonas de rampa se incluye pp de solera de hormigón en masa (HM-20/P/20/I), de 20 cm de espesor, vertido desde camión con extendido y vibrado manual con regla vibrante de 3 m, con acabado maestreado, y explanada con índice CBR &gt; 5 (California Bearing Ratio).</t>
  </si>
  <si>
    <t>Uds.</t>
  </si>
  <si>
    <t>Largo</t>
  </si>
  <si>
    <t>Ancho</t>
  </si>
  <si>
    <t>Alto</t>
  </si>
  <si>
    <t>Parcial</t>
  </si>
  <si>
    <t>Subtotal</t>
  </si>
  <si>
    <t>Suelo del pontón</t>
  </si>
  <si>
    <t>UVR010c</t>
  </si>
  <si>
    <t>Partida</t>
  </si>
  <si>
    <t>m</t>
  </si>
  <si>
    <t>Verja metálica compuesta por barrotes horizontales de pletina de perfil macizo de acero laminado en caliente de 50x10 mm y barrotes verticales de pletina de perfil macizo de acero laminado en caliente de 50x10 mm y 1 m de altura, con anclajes empotrados en dados de hormigón o muretes de fábrica u hormigón.</t>
  </si>
  <si>
    <t>Uds.</t>
  </si>
  <si>
    <t>Largo</t>
  </si>
  <si>
    <t>Ancho</t>
  </si>
  <si>
    <t>Alto</t>
  </si>
  <si>
    <t>Parcial</t>
  </si>
  <si>
    <t>Subtotal</t>
  </si>
  <si>
    <t>Balaustre pontón</t>
  </si>
  <si>
    <t>IEO010c</t>
  </si>
  <si>
    <t>Partida</t>
  </si>
  <si>
    <t>m</t>
  </si>
  <si>
    <t>Suministro e instalación empotrada en elemento de construcción de obra de fábrica de canalización de tubo curvable de PVC, transversalmente elástico, corrugado, forrado, de color negro, de 25 mm de diámetro nominal, resistencia a la compresión 320 N, con grado de protección IP547.</t>
  </si>
  <si>
    <t>DRF010c</t>
  </si>
  <si>
    <t>Partida</t>
  </si>
  <si>
    <t>m²</t>
  </si>
  <si>
    <t>Eliminación del enfoscado de cemento suelto, aplicado sobre paramento vertical exterior de hasta 5 m de altura, con medios manuales, sin deteriorar la superficie soporte, que quedará al descubierto y preparada para su posterior revestimiento, y carga manual sobre camión o contenedor.</t>
  </si>
  <si>
    <t>PBL</t>
  </si>
  <si>
    <t>II</t>
  </si>
  <si>
    <t>Capítulo</t>
  </si>
  <si>
    <t>Iluminación pública</t>
  </si>
  <si>
    <t>IFS01</t>
  </si>
  <si>
    <t>Partida</t>
  </si>
  <si>
    <t>Ud</t>
  </si>
  <si>
    <t>Proyector arquitectónico Iguzzini MaxiWoody según empresa leonesa: Iluminación Futura Sostenible 35W 30 grados y lente elíptica. Anclado a pared. Incluye suministro e instalación y todo lo necesario para dejarlo en perfecto estado de funcionamiento.</t>
  </si>
  <si>
    <t>IFS01b</t>
  </si>
  <si>
    <t>Partida</t>
  </si>
  <si>
    <t>Ud</t>
  </si>
  <si>
    <t>Baliza de pared Iguzzini QUANTUM cuerpo lámpara 4.2W, 410lm, caja de preinstalación 5435-5540 y máscara color antracita QUENATUM según empresa leonesa: Iluminación Futura Sostenible. Incluye suministro e instalación y todo lo necesario para dejarlo en perfecto estado de funcionamiento.</t>
  </si>
  <si>
    <t>IFS01bb</t>
  </si>
  <si>
    <t>Partida</t>
  </si>
  <si>
    <t>Ud</t>
  </si>
  <si>
    <t>Proyector IP98 sumergible WATERAPP 3.1W 3K con alimentaor 17W IP20 de Iguzzini según empresa leonesa: Iluminación Futura Sostenible. Incluye suministro e instalación y todo lo necesario para dejarlo en perfecto estado de funcionamiento.</t>
  </si>
  <si>
    <t>IFS01bbb</t>
  </si>
  <si>
    <t>Partida</t>
  </si>
  <si>
    <t>Ud</t>
  </si>
  <si>
    <t>Farola F5800 LED 40W negra 3K, según empresa leonesa: Iluminación Futura Sostenible. Incluye suministro e instalación y todo lo necesario para dejarlo en perfecto estado de funcionamiento.</t>
  </si>
  <si>
    <t>IFS01bbbb</t>
  </si>
  <si>
    <t>Partida</t>
  </si>
  <si>
    <t>Ud</t>
  </si>
  <si>
    <t>Brazo de pared color negro, según empresa leonesa: Iluminación Futura Sostenible. Incluye suministro e instalación y todo lo necesario para dejarlo en perfecto estado de funcionamiento.</t>
  </si>
  <si>
    <t>IFS01bbbbb</t>
  </si>
  <si>
    <t>Partida</t>
  </si>
  <si>
    <t>Ud</t>
  </si>
  <si>
    <t>Báculo 4m color negro, según empresa leonesa: Iluminación Futura Sostenible. Incluye suministro e instalación y todo lo necesario para dejarlo en perfecto estado de funcionamiento.</t>
  </si>
  <si>
    <t>IFS01bc</t>
  </si>
  <si>
    <t>Partida</t>
  </si>
  <si>
    <t>Ud</t>
  </si>
  <si>
    <t>Baliza de pie color negro, 3K según empresa leonesa: Iluminación Futura Sostenible. Incluye suministro e instalación y todo lo necesario para dejarlo en perfecto estado de funcionamiento.</t>
  </si>
  <si>
    <t>IFS01c</t>
  </si>
  <si>
    <t>Partida</t>
  </si>
  <si>
    <t>Ud</t>
  </si>
  <si>
    <t>Partida alzada de cableado para instalación de iluminación en Benllera según documentación gráfica del proyecto. No incluye luminarias, incluye cableado y aparamenta necesaria para dejar la instalación en perfecto estado de funcionamiento.</t>
  </si>
  <si>
    <t>IFS01F</t>
  </si>
  <si>
    <t>Partida</t>
  </si>
  <si>
    <t>Ud</t>
  </si>
  <si>
    <t>LE420: Desmontaje, suministro y montaje de luminaria para alumbrado viario modelo LED FaelLuce modelo Próximo City 77W, temperatura de color 3K, según empresa leonesa Iluminacion Futura Sostenible. Se incluye el desmontaje de la luminaria existente y su transporte a almacén municipal o a gestor autorizado.</t>
  </si>
  <si>
    <t>II</t>
  </si>
  <si>
    <t>S</t>
  </si>
  <si>
    <t>Capítulo</t>
  </si>
  <si>
    <t>Seguridad y Salud</t>
  </si>
  <si>
    <t>SYSQP</t>
  </si>
  <si>
    <t>Partida</t>
  </si>
  <si>
    <t>Ud</t>
  </si>
  <si>
    <t>Partida alzada de seguridad y salud. Incluye medios auxiliares, andamiajes y todas las medidas de protección necesarias para acometer las obras no incluidas específicamente en otras partidas de este proyecto.</t>
  </si>
  <si>
    <t>S</t>
  </si>
  <si>
    <t>X</t>
  </si>
  <si>
    <t>Capítulo</t>
  </si>
  <si>
    <t>Gestión de residuos</t>
  </si>
  <si>
    <t>SYSQPb</t>
  </si>
  <si>
    <t>Partida</t>
  </si>
  <si>
    <t>Ud</t>
  </si>
  <si>
    <t>Partida alzada para la gestión de residuos de construcción, no incluidos específicamente en otras partidas de este proyecto.</t>
  </si>
  <si>
    <t>X</t>
  </si>
  <si>
    <t>BELLERA_PE_COMPLETO</t>
  </si>
</sst>
</file>

<file path=xl/styles.xml><?xml version="1.0" encoding="utf-8"?>
<styleSheet xmlns="http://schemas.openxmlformats.org/spreadsheetml/2006/main">
  <numFmts count="1">
    <numFmt numFmtId="164" formatCode="#,##0.000"/>
  </numFmts>
  <fonts count="7">
    <font>
      <sz val="12"/>
      <color rgb="FF000000"/>
      <name val="Verdana"/>
      <family val="2"/>
    </font>
    <font>
      <b/>
      <sz val="9.9499999999999993"/>
      <color rgb="FF000000"/>
      <name val="Arial"/>
      <family val="2"/>
    </font>
    <font>
      <sz val="8"/>
      <color rgb="FF000000"/>
      <name val="Arial"/>
      <family val="2"/>
    </font>
    <font>
      <b/>
      <sz val="9"/>
      <color rgb="FF000000"/>
      <name val="Arial"/>
      <family val="2"/>
    </font>
    <font>
      <b/>
      <sz val="8"/>
      <color rgb="FF000000"/>
      <name val="Arial"/>
      <family val="2"/>
    </font>
    <font>
      <sz val="8"/>
      <color rgb="FF808080"/>
      <name val="Arial"/>
      <family val="2"/>
    </font>
    <font>
      <sz val="8"/>
      <color rgb="FF101010"/>
      <name val="Arial"/>
      <family val="2"/>
    </font>
  </fonts>
  <fills count="6">
    <fill>
      <patternFill patternType="none"/>
    </fill>
    <fill>
      <patternFill patternType="gray125"/>
    </fill>
    <fill>
      <patternFill patternType="solid">
        <fgColor rgb="FFDFFFBF"/>
      </patternFill>
    </fill>
    <fill>
      <patternFill patternType="solid">
        <fgColor rgb="FF269900"/>
      </patternFill>
    </fill>
    <fill>
      <patternFill patternType="solid">
        <fgColor rgb="FF3FB219"/>
      </patternFill>
    </fill>
    <fill>
      <patternFill patternType="solid">
        <fgColor rgb="FF58CB32"/>
      </patternFill>
    </fill>
  </fills>
  <borders count="6">
    <border>
      <left/>
      <right/>
      <top/>
      <bottom/>
      <diagonal/>
    </border>
    <border>
      <left/>
      <right/>
      <top/>
      <bottom style="thin">
        <color rgb="FF000000"/>
      </bottom>
      <diagonal/>
    </border>
    <border>
      <left/>
      <right/>
      <top style="thin">
        <color rgb="FF000000"/>
      </top>
      <bottom/>
      <diagonal/>
    </border>
    <border>
      <left/>
      <right/>
      <top/>
      <bottom style="thin">
        <color rgb="FF808080"/>
      </bottom>
      <diagonal/>
    </border>
    <border>
      <left/>
      <right/>
      <top style="thin">
        <color rgb="FF808080"/>
      </top>
      <bottom/>
      <diagonal/>
    </border>
    <border>
      <left/>
      <right/>
      <top style="thin">
        <color rgb="FF000000"/>
      </top>
      <bottom style="thin">
        <color rgb="FF000000"/>
      </bottom>
      <diagonal/>
    </border>
  </borders>
  <cellStyleXfs count="1">
    <xf numFmtId="0" fontId="0" fillId="0" borderId="0"/>
  </cellStyleXfs>
  <cellXfs count="62">
    <xf numFmtId="0" fontId="0" fillId="0" borderId="0" xfId="0" applyFont="1" applyAlignment="1">
      <alignment horizontal="left" vertical="center"/>
    </xf>
    <xf numFmtId="0" fontId="1" fillId="2" borderId="0" xfId="0" applyFont="1" applyFill="1" applyAlignment="1">
      <alignment horizontal="right" vertical="top" wrapText="1"/>
    </xf>
    <xf numFmtId="0" fontId="0" fillId="2" borderId="0" xfId="0" applyFont="1" applyFill="1" applyAlignment="1">
      <alignment horizontal="left" vertical="top" wrapText="1"/>
    </xf>
    <xf numFmtId="0" fontId="2" fillId="0" borderId="0" xfId="0" applyFont="1" applyAlignment="1">
      <alignment horizontal="right" vertical="top" wrapText="1"/>
    </xf>
    <xf numFmtId="0" fontId="2" fillId="2" borderId="0" xfId="0" applyFont="1" applyFill="1" applyAlignment="1">
      <alignment horizontal="right" vertical="top" wrapText="1"/>
    </xf>
    <xf numFmtId="0" fontId="2" fillId="0" borderId="0" xfId="0" applyFont="1" applyAlignment="1">
      <alignment horizontal="left" vertical="top" wrapText="1"/>
    </xf>
    <xf numFmtId="0" fontId="2" fillId="2" borderId="0" xfId="0" applyFont="1" applyFill="1" applyAlignment="1">
      <alignment horizontal="left" vertical="top" wrapText="1"/>
    </xf>
    <xf numFmtId="0" fontId="3"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3" fillId="2" borderId="1" xfId="0" applyFont="1" applyFill="1" applyBorder="1" applyAlignment="1">
      <alignment horizontal="right" vertical="top" wrapText="1"/>
    </xf>
    <xf numFmtId="0" fontId="4" fillId="0" borderId="0" xfId="0" applyFont="1" applyAlignment="1">
      <alignment horizontal="left" vertical="top" wrapText="1"/>
    </xf>
    <xf numFmtId="0" fontId="4" fillId="3" borderId="2" xfId="0" applyFont="1" applyFill="1" applyBorder="1" applyAlignment="1">
      <alignment horizontal="left" vertical="top" wrapText="1"/>
    </xf>
    <xf numFmtId="0" fontId="0" fillId="3" borderId="2" xfId="0" applyFont="1" applyFill="1" applyBorder="1" applyAlignment="1">
      <alignment horizontal="left" vertical="top" wrapText="1"/>
    </xf>
    <xf numFmtId="4" fontId="4" fillId="3" borderId="2" xfId="0" applyNumberFormat="1" applyFont="1" applyFill="1" applyBorder="1" applyAlignment="1">
      <alignment horizontal="right" vertical="top" wrapText="1"/>
    </xf>
    <xf numFmtId="0" fontId="4" fillId="4" borderId="0" xfId="0" applyFont="1" applyFill="1" applyAlignment="1">
      <alignment horizontal="left" vertical="top" wrapText="1"/>
    </xf>
    <xf numFmtId="0" fontId="0" fillId="4" borderId="0" xfId="0" applyFont="1" applyFill="1" applyAlignment="1">
      <alignment horizontal="left" vertical="top" wrapText="1"/>
    </xf>
    <xf numFmtId="4" fontId="4" fillId="4" borderId="0" xfId="0" applyNumberFormat="1" applyFont="1" applyFill="1" applyAlignment="1">
      <alignment horizontal="right" vertical="top" wrapText="1"/>
    </xf>
    <xf numFmtId="0" fontId="4" fillId="5" borderId="0" xfId="0" applyFont="1" applyFill="1" applyAlignment="1">
      <alignment horizontal="left" vertical="top" wrapText="1"/>
    </xf>
    <xf numFmtId="0" fontId="0" fillId="5" borderId="0" xfId="0" applyFont="1" applyFill="1" applyAlignment="1">
      <alignment horizontal="left" vertical="top" wrapText="1"/>
    </xf>
    <xf numFmtId="4" fontId="4" fillId="5" borderId="0" xfId="0" applyNumberFormat="1" applyFont="1" applyFill="1" applyAlignment="1">
      <alignment horizontal="right" vertical="top" wrapText="1"/>
    </xf>
    <xf numFmtId="164" fontId="2" fillId="0" borderId="0" xfId="0" applyNumberFormat="1" applyFont="1" applyAlignment="1">
      <alignment horizontal="right" vertical="top" wrapText="1"/>
    </xf>
    <xf numFmtId="4" fontId="2" fillId="0" borderId="0" xfId="0" applyNumberFormat="1" applyFont="1" applyAlignment="1">
      <alignment horizontal="right" vertical="top" wrapText="1"/>
    </xf>
    <xf numFmtId="0" fontId="0" fillId="0" borderId="0" xfId="0" applyFont="1" applyAlignment="1">
      <alignment horizontal="center" vertical="center" wrapText="1"/>
    </xf>
    <xf numFmtId="0" fontId="5" fillId="0" borderId="3" xfId="0" applyFont="1" applyBorder="1" applyAlignment="1">
      <alignment horizontal="left" vertical="top" wrapText="1"/>
    </xf>
    <xf numFmtId="0" fontId="5" fillId="0" borderId="0" xfId="0" applyFont="1" applyAlignment="1">
      <alignment horizontal="right" vertical="top" wrapText="1"/>
    </xf>
    <xf numFmtId="0" fontId="5" fillId="0" borderId="3" xfId="0" applyFont="1" applyBorder="1" applyAlignment="1">
      <alignment horizontal="right" vertical="top" wrapText="1"/>
    </xf>
    <xf numFmtId="0" fontId="5" fillId="0" borderId="0" xfId="0" applyFont="1" applyAlignment="1">
      <alignment horizontal="left" vertical="top" wrapText="1"/>
    </xf>
    <xf numFmtId="0" fontId="2" fillId="0" borderId="4" xfId="0" applyFont="1" applyBorder="1" applyAlignment="1">
      <alignment horizontal="left" vertical="top" wrapText="1"/>
    </xf>
    <xf numFmtId="0" fontId="2" fillId="0" borderId="4" xfId="0" applyFont="1" applyBorder="1" applyAlignment="1">
      <alignment horizontal="right" vertical="top" wrapText="1"/>
    </xf>
    <xf numFmtId="164" fontId="2" fillId="0" borderId="4" xfId="0" applyNumberFormat="1" applyFont="1" applyBorder="1" applyAlignment="1">
      <alignment horizontal="right" vertical="top" wrapText="1"/>
    </xf>
    <xf numFmtId="164" fontId="5" fillId="0" borderId="0" xfId="0" applyNumberFormat="1" applyFont="1" applyAlignment="1">
      <alignment horizontal="right" vertical="top" wrapText="1"/>
    </xf>
    <xf numFmtId="164" fontId="5" fillId="0" borderId="4" xfId="0" applyNumberFormat="1" applyFont="1" applyBorder="1" applyAlignment="1">
      <alignment horizontal="right" vertical="top" wrapText="1"/>
    </xf>
    <xf numFmtId="0" fontId="0" fillId="0" borderId="4" xfId="0" applyFont="1" applyBorder="1" applyAlignment="1">
      <alignment horizontal="center" vertical="center" wrapText="1"/>
    </xf>
    <xf numFmtId="164" fontId="6" fillId="0" borderId="0" xfId="0" applyNumberFormat="1" applyFont="1" applyAlignment="1">
      <alignment horizontal="right" vertical="top" wrapText="1"/>
    </xf>
    <xf numFmtId="0" fontId="0" fillId="0" borderId="1" xfId="0" applyFont="1" applyBorder="1" applyAlignment="1">
      <alignment horizontal="center" vertical="center" wrapText="1"/>
    </xf>
    <xf numFmtId="0" fontId="4" fillId="5" borderId="1" xfId="0" applyFont="1" applyFill="1" applyBorder="1" applyAlignment="1">
      <alignment horizontal="left" vertical="top" wrapText="1"/>
    </xf>
    <xf numFmtId="0" fontId="0" fillId="5" borderId="1" xfId="0" applyFont="1" applyFill="1" applyBorder="1" applyAlignment="1">
      <alignment horizontal="left" vertical="top" wrapText="1"/>
    </xf>
    <xf numFmtId="4" fontId="4" fillId="5" borderId="1" xfId="0" applyNumberFormat="1" applyFont="1" applyFill="1" applyBorder="1" applyAlignment="1">
      <alignment horizontal="right" vertical="top" wrapText="1"/>
    </xf>
    <xf numFmtId="0" fontId="4" fillId="5" borderId="2" xfId="0" applyFont="1" applyFill="1" applyBorder="1" applyAlignment="1">
      <alignment horizontal="left" vertical="top" wrapText="1"/>
    </xf>
    <xf numFmtId="0" fontId="0" fillId="5" borderId="2" xfId="0" applyFont="1" applyFill="1" applyBorder="1" applyAlignment="1">
      <alignment horizontal="left" vertical="top" wrapText="1"/>
    </xf>
    <xf numFmtId="4" fontId="4" fillId="5" borderId="2" xfId="0" applyNumberFormat="1" applyFont="1" applyFill="1" applyBorder="1" applyAlignment="1">
      <alignment horizontal="right" vertical="top" wrapText="1"/>
    </xf>
    <xf numFmtId="164" fontId="6" fillId="0" borderId="4" xfId="0" applyNumberFormat="1" applyFont="1" applyBorder="1" applyAlignment="1">
      <alignment horizontal="right" vertical="top" wrapText="1"/>
    </xf>
    <xf numFmtId="0" fontId="0" fillId="0" borderId="5" xfId="0" applyFont="1" applyBorder="1" applyAlignment="1">
      <alignment horizontal="center" vertical="center" wrapText="1"/>
    </xf>
    <xf numFmtId="0" fontId="4" fillId="4" borderId="5" xfId="0" applyFont="1" applyFill="1" applyBorder="1" applyAlignment="1">
      <alignment horizontal="left" vertical="top" wrapText="1"/>
    </xf>
    <xf numFmtId="0" fontId="0" fillId="4" borderId="5" xfId="0" applyFont="1" applyFill="1" applyBorder="1" applyAlignment="1">
      <alignment horizontal="left" vertical="top" wrapText="1"/>
    </xf>
    <xf numFmtId="4" fontId="4" fillId="4" borderId="5" xfId="0" applyNumberFormat="1" applyFont="1" applyFill="1" applyBorder="1" applyAlignment="1">
      <alignment horizontal="right" vertical="top" wrapText="1"/>
    </xf>
    <xf numFmtId="0" fontId="4" fillId="4" borderId="2" xfId="0" applyFont="1" applyFill="1" applyBorder="1" applyAlignment="1">
      <alignment horizontal="left" vertical="top" wrapText="1"/>
    </xf>
    <xf numFmtId="0" fontId="0" fillId="4" borderId="2" xfId="0" applyFont="1" applyFill="1" applyBorder="1" applyAlignment="1">
      <alignment horizontal="left" vertical="top" wrapText="1"/>
    </xf>
    <xf numFmtId="4" fontId="4" fillId="4" borderId="2" xfId="0" applyNumberFormat="1" applyFont="1" applyFill="1" applyBorder="1" applyAlignment="1">
      <alignment horizontal="right" vertical="top" wrapText="1"/>
    </xf>
    <xf numFmtId="0" fontId="4" fillId="4" borderId="1" xfId="0" applyFont="1" applyFill="1" applyBorder="1" applyAlignment="1">
      <alignment horizontal="left" vertical="top" wrapText="1"/>
    </xf>
    <xf numFmtId="0" fontId="0" fillId="4" borderId="1" xfId="0" applyFont="1" applyFill="1" applyBorder="1" applyAlignment="1">
      <alignment horizontal="left" vertical="top" wrapText="1"/>
    </xf>
    <xf numFmtId="4" fontId="4" fillId="4" borderId="1" xfId="0" applyNumberFormat="1" applyFont="1" applyFill="1" applyBorder="1" applyAlignment="1">
      <alignment horizontal="right" vertical="top" wrapText="1"/>
    </xf>
    <xf numFmtId="0" fontId="4" fillId="3" borderId="5" xfId="0" applyFont="1" applyFill="1" applyBorder="1" applyAlignment="1">
      <alignment horizontal="left" vertical="top" wrapText="1"/>
    </xf>
    <xf numFmtId="0" fontId="0" fillId="3" borderId="5" xfId="0" applyFont="1" applyFill="1" applyBorder="1" applyAlignment="1">
      <alignment horizontal="left" vertical="top" wrapText="1"/>
    </xf>
    <xf numFmtId="4" fontId="4" fillId="3" borderId="5" xfId="0" applyNumberFormat="1" applyFont="1" applyFill="1" applyBorder="1" applyAlignment="1">
      <alignment horizontal="right" vertical="top" wrapText="1"/>
    </xf>
    <xf numFmtId="0" fontId="1" fillId="2" borderId="0" xfId="0" applyFont="1" applyFill="1" applyAlignment="1">
      <alignment horizontal="left" vertical="top" wrapText="1"/>
    </xf>
    <xf numFmtId="0" fontId="4" fillId="3" borderId="2" xfId="0" applyFont="1" applyFill="1" applyBorder="1" applyAlignment="1">
      <alignment horizontal="justify" vertical="top" wrapText="1"/>
    </xf>
    <xf numFmtId="0" fontId="4" fillId="4" borderId="0" xfId="0" applyFont="1" applyFill="1" applyAlignment="1">
      <alignment horizontal="justify" vertical="top" wrapText="1"/>
    </xf>
    <xf numFmtId="0" fontId="4" fillId="5" borderId="0" xfId="0" applyFont="1" applyFill="1" applyAlignment="1">
      <alignment horizontal="justify" vertical="top" wrapText="1"/>
    </xf>
    <xf numFmtId="0" fontId="2" fillId="0" borderId="0" xfId="0" applyFont="1" applyAlignment="1">
      <alignment horizontal="justify" vertical="top" wrapText="1"/>
    </xf>
    <xf numFmtId="0" fontId="4" fillId="5" borderId="2" xfId="0" applyFont="1" applyFill="1" applyBorder="1" applyAlignment="1">
      <alignment horizontal="justify" vertical="top" wrapText="1"/>
    </xf>
    <xf numFmtId="0" fontId="4" fillId="4" borderId="2" xfId="0" applyFont="1" applyFill="1" applyBorder="1" applyAlignment="1">
      <alignment horizontal="justify"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68"/>
  <sheetViews>
    <sheetView tabSelected="1" view="pageLayout" workbookViewId="0"/>
  </sheetViews>
  <sheetFormatPr baseColWidth="10" defaultRowHeight="15"/>
  <cols>
    <col min="1" max="1" width="7.296875" customWidth="1"/>
    <col min="2" max="2" width="6.5" customWidth="1"/>
    <col min="3" max="3" width="3.09765625" customWidth="1"/>
    <col min="4" max="4" width="17.5" customWidth="1"/>
    <col min="5" max="5" width="10.19921875" customWidth="1"/>
    <col min="6" max="8" width="5.59765625" customWidth="1"/>
    <col min="9" max="9" width="4.8984375" customWidth="1"/>
    <col min="10" max="10" width="6.19921875" customWidth="1"/>
    <col min="11" max="13" width="8" customWidth="1"/>
  </cols>
  <sheetData>
    <row r="1" spans="1:13" ht="17.850000000000001" customHeight="1" thickBot="1">
      <c r="A1" s="1" t="s">
        <v>0</v>
      </c>
      <c r="B1" s="55" t="s">
        <v>1</v>
      </c>
      <c r="C1" s="55"/>
      <c r="D1" s="55"/>
      <c r="E1" s="55"/>
      <c r="F1" s="55"/>
      <c r="G1" s="55"/>
      <c r="H1" s="55"/>
      <c r="I1" s="55"/>
      <c r="J1" s="55"/>
      <c r="K1" s="55"/>
      <c r="L1" s="55"/>
      <c r="M1" s="55"/>
    </row>
    <row r="2" spans="1:13" ht="17.850000000000001" customHeight="1" thickBot="1">
      <c r="A2" s="55" t="s">
        <v>2</v>
      </c>
      <c r="B2" s="55"/>
      <c r="C2" s="55"/>
      <c r="D2" s="2"/>
      <c r="E2" s="2"/>
      <c r="F2" s="2"/>
      <c r="G2" s="2"/>
      <c r="H2" s="2"/>
      <c r="I2" s="2"/>
      <c r="J2" s="2"/>
      <c r="K2" s="2"/>
      <c r="L2" s="4" t="s">
        <v>3</v>
      </c>
      <c r="M2" s="6">
        <v>2</v>
      </c>
    </row>
    <row r="3" spans="1:13" ht="16.7" customHeight="1" thickBot="1">
      <c r="A3" s="7" t="s">
        <v>4</v>
      </c>
      <c r="B3" s="7" t="s">
        <v>5</v>
      </c>
      <c r="C3" s="7" t="s">
        <v>6</v>
      </c>
      <c r="D3" s="7" t="s">
        <v>7</v>
      </c>
      <c r="E3" s="8"/>
      <c r="F3" s="8"/>
      <c r="G3" s="8"/>
      <c r="H3" s="8"/>
      <c r="I3" s="8"/>
      <c r="J3" s="8"/>
      <c r="K3" s="9" t="s">
        <v>8</v>
      </c>
      <c r="L3" s="9" t="s">
        <v>9</v>
      </c>
      <c r="M3" s="9" t="s">
        <v>10</v>
      </c>
    </row>
    <row r="4" spans="1:13" ht="25.15" customHeight="1" thickBot="1">
      <c r="A4" s="11" t="s">
        <v>11</v>
      </c>
      <c r="B4" s="11" t="s">
        <v>12</v>
      </c>
      <c r="C4" s="12"/>
      <c r="D4" s="56"/>
      <c r="E4" s="56"/>
      <c r="F4" s="56"/>
      <c r="G4" s="56"/>
      <c r="H4" s="56"/>
      <c r="I4" s="56"/>
      <c r="J4" s="56"/>
      <c r="K4" s="12"/>
      <c r="L4" s="13">
        <f>L368</f>
        <v>109985.7</v>
      </c>
      <c r="M4" s="13">
        <f>ROUND(L4,2)</f>
        <v>109985.7</v>
      </c>
    </row>
    <row r="5" spans="1:13" ht="15.4" customHeight="1" thickBot="1">
      <c r="A5" s="14" t="s">
        <v>13</v>
      </c>
      <c r="B5" s="14" t="s">
        <v>14</v>
      </c>
      <c r="C5" s="15"/>
      <c r="D5" s="57" t="s">
        <v>15</v>
      </c>
      <c r="E5" s="57"/>
      <c r="F5" s="57"/>
      <c r="G5" s="57"/>
      <c r="H5" s="57"/>
      <c r="I5" s="57"/>
      <c r="J5" s="57"/>
      <c r="K5" s="15"/>
      <c r="L5" s="16">
        <f>L62</f>
        <v>10585.7</v>
      </c>
      <c r="M5" s="16">
        <f>ROUND(L5,2)</f>
        <v>10585.7</v>
      </c>
    </row>
    <row r="6" spans="1:13" ht="15.4" customHeight="1" thickBot="1">
      <c r="A6" s="17" t="s">
        <v>16</v>
      </c>
      <c r="B6" s="17" t="s">
        <v>17</v>
      </c>
      <c r="C6" s="18"/>
      <c r="D6" s="58" t="s">
        <v>18</v>
      </c>
      <c r="E6" s="58"/>
      <c r="F6" s="58"/>
      <c r="G6" s="58"/>
      <c r="H6" s="58"/>
      <c r="I6" s="58"/>
      <c r="J6" s="58"/>
      <c r="K6" s="18"/>
      <c r="L6" s="19">
        <f>L18</f>
        <v>2062.2799999999997</v>
      </c>
      <c r="M6" s="19">
        <f>ROUND(L6,2)</f>
        <v>2062.2800000000002</v>
      </c>
    </row>
    <row r="7" spans="1:13" ht="30.6" customHeight="1" thickBot="1">
      <c r="A7" s="10" t="s">
        <v>19</v>
      </c>
      <c r="B7" s="5" t="s">
        <v>20</v>
      </c>
      <c r="C7" s="5" t="s">
        <v>21</v>
      </c>
      <c r="D7" s="59" t="s">
        <v>22</v>
      </c>
      <c r="E7" s="59"/>
      <c r="F7" s="59"/>
      <c r="G7" s="59"/>
      <c r="H7" s="59"/>
      <c r="I7" s="59"/>
      <c r="J7" s="59"/>
      <c r="K7" s="20">
        <f>ROUND(1,2)</f>
        <v>1</v>
      </c>
      <c r="L7" s="21">
        <f>ROUND(564.524*(1+M2/100),2)</f>
        <v>575.80999999999995</v>
      </c>
      <c r="M7" s="21">
        <f t="shared" ref="M7:M14" si="0">ROUND(K7*L7,2)</f>
        <v>575.80999999999995</v>
      </c>
    </row>
    <row r="8" spans="1:13" ht="30.6" customHeight="1" thickBot="1">
      <c r="A8" s="10" t="s">
        <v>23</v>
      </c>
      <c r="B8" s="5" t="s">
        <v>24</v>
      </c>
      <c r="C8" s="5" t="s">
        <v>25</v>
      </c>
      <c r="D8" s="59" t="s">
        <v>26</v>
      </c>
      <c r="E8" s="59"/>
      <c r="F8" s="59"/>
      <c r="G8" s="59"/>
      <c r="H8" s="59"/>
      <c r="I8" s="59"/>
      <c r="J8" s="59"/>
      <c r="K8" s="20">
        <f>ROUND(1,2)</f>
        <v>1</v>
      </c>
      <c r="L8" s="21">
        <f>ROUND(376.35*(1+M2/100),2)</f>
        <v>383.88</v>
      </c>
      <c r="M8" s="21">
        <f t="shared" si="0"/>
        <v>383.88</v>
      </c>
    </row>
    <row r="9" spans="1:13" ht="30.6" customHeight="1" thickBot="1">
      <c r="A9" s="10" t="s">
        <v>27</v>
      </c>
      <c r="B9" s="5" t="s">
        <v>28</v>
      </c>
      <c r="C9" s="5" t="s">
        <v>29</v>
      </c>
      <c r="D9" s="59" t="s">
        <v>30</v>
      </c>
      <c r="E9" s="59"/>
      <c r="F9" s="59"/>
      <c r="G9" s="59"/>
      <c r="H9" s="59"/>
      <c r="I9" s="59"/>
      <c r="J9" s="59"/>
      <c r="K9" s="20">
        <f>ROUND(1,2)</f>
        <v>1</v>
      </c>
      <c r="L9" s="21">
        <f>ROUND(94.087*(1+M2/100),2)</f>
        <v>95.97</v>
      </c>
      <c r="M9" s="21">
        <f t="shared" si="0"/>
        <v>95.97</v>
      </c>
    </row>
    <row r="10" spans="1:13" ht="30.6" customHeight="1" thickBot="1">
      <c r="A10" s="10" t="s">
        <v>31</v>
      </c>
      <c r="B10" s="5" t="s">
        <v>32</v>
      </c>
      <c r="C10" s="5" t="s">
        <v>33</v>
      </c>
      <c r="D10" s="59" t="s">
        <v>34</v>
      </c>
      <c r="E10" s="59"/>
      <c r="F10" s="59"/>
      <c r="G10" s="59"/>
      <c r="H10" s="59"/>
      <c r="I10" s="59"/>
      <c r="J10" s="59"/>
      <c r="K10" s="20">
        <f>ROUND(1,2)</f>
        <v>1</v>
      </c>
      <c r="L10" s="21">
        <f>ROUND(564.524*(1+M2/100),2)</f>
        <v>575.80999999999995</v>
      </c>
      <c r="M10" s="21">
        <f t="shared" si="0"/>
        <v>575.80999999999995</v>
      </c>
    </row>
    <row r="11" spans="1:13" ht="15.4" customHeight="1" thickBot="1">
      <c r="A11" s="10" t="s">
        <v>35</v>
      </c>
      <c r="B11" s="5" t="s">
        <v>36</v>
      </c>
      <c r="C11" s="5" t="s">
        <v>37</v>
      </c>
      <c r="D11" s="59" t="s">
        <v>38</v>
      </c>
      <c r="E11" s="59"/>
      <c r="F11" s="59"/>
      <c r="G11" s="59"/>
      <c r="H11" s="59"/>
      <c r="I11" s="59"/>
      <c r="J11" s="59"/>
      <c r="K11" s="20">
        <f>ROUND(1,2)</f>
        <v>1</v>
      </c>
      <c r="L11" s="21">
        <f>ROUND(47.044*(1+M2/100),2)</f>
        <v>47.98</v>
      </c>
      <c r="M11" s="21">
        <f t="shared" si="0"/>
        <v>47.98</v>
      </c>
    </row>
    <row r="12" spans="1:13" ht="21.4" customHeight="1" thickBot="1">
      <c r="A12" s="10" t="s">
        <v>39</v>
      </c>
      <c r="B12" s="5" t="s">
        <v>40</v>
      </c>
      <c r="C12" s="5" t="s">
        <v>41</v>
      </c>
      <c r="D12" s="59" t="s">
        <v>42</v>
      </c>
      <c r="E12" s="59"/>
      <c r="F12" s="59"/>
      <c r="G12" s="59"/>
      <c r="H12" s="59"/>
      <c r="I12" s="59"/>
      <c r="J12" s="59"/>
      <c r="K12" s="20">
        <f>ROUND(2,2)</f>
        <v>2</v>
      </c>
      <c r="L12" s="21">
        <f>ROUND(23.522*(1+M2/100),2)</f>
        <v>23.99</v>
      </c>
      <c r="M12" s="21">
        <f t="shared" si="0"/>
        <v>47.98</v>
      </c>
    </row>
    <row r="13" spans="1:13" ht="21.4" customHeight="1" thickBot="1">
      <c r="A13" s="10" t="s">
        <v>43</v>
      </c>
      <c r="B13" s="5" t="s">
        <v>44</v>
      </c>
      <c r="C13" s="5" t="s">
        <v>45</v>
      </c>
      <c r="D13" s="59" t="s">
        <v>46</v>
      </c>
      <c r="E13" s="59"/>
      <c r="F13" s="59"/>
      <c r="G13" s="59"/>
      <c r="H13" s="59"/>
      <c r="I13" s="59"/>
      <c r="J13" s="59"/>
      <c r="K13" s="20">
        <f>ROUND(1,2)</f>
        <v>1</v>
      </c>
      <c r="L13" s="21">
        <f>ROUND(74.17*(1+M2/100),2)</f>
        <v>75.650000000000006</v>
      </c>
      <c r="M13" s="21">
        <f t="shared" si="0"/>
        <v>75.650000000000006</v>
      </c>
    </row>
    <row r="14" spans="1:13" ht="30.6" customHeight="1" thickBot="1">
      <c r="A14" s="10" t="s">
        <v>47</v>
      </c>
      <c r="B14" s="5" t="s">
        <v>48</v>
      </c>
      <c r="C14" s="5" t="s">
        <v>49</v>
      </c>
      <c r="D14" s="59" t="s">
        <v>50</v>
      </c>
      <c r="E14" s="59"/>
      <c r="F14" s="59"/>
      <c r="G14" s="59"/>
      <c r="H14" s="59"/>
      <c r="I14" s="59"/>
      <c r="J14" s="59"/>
      <c r="K14" s="20">
        <f>SUM(K16:K17)</f>
        <v>32</v>
      </c>
      <c r="L14" s="21">
        <f>ROUND(7.94*(1+M2/100),2)</f>
        <v>8.1</v>
      </c>
      <c r="M14" s="21">
        <f t="shared" si="0"/>
        <v>259.2</v>
      </c>
    </row>
    <row r="15" spans="1:13" ht="15.2" customHeight="1" thickBot="1">
      <c r="A15" s="22"/>
      <c r="B15" s="22"/>
      <c r="C15" s="22"/>
      <c r="D15" s="22"/>
      <c r="E15" s="23"/>
      <c r="F15" s="25" t="s">
        <v>51</v>
      </c>
      <c r="G15" s="25" t="s">
        <v>52</v>
      </c>
      <c r="H15" s="25" t="s">
        <v>53</v>
      </c>
      <c r="I15" s="25" t="s">
        <v>54</v>
      </c>
      <c r="J15" s="25" t="s">
        <v>55</v>
      </c>
      <c r="K15" s="25" t="s">
        <v>56</v>
      </c>
      <c r="L15" s="22"/>
      <c r="M15" s="22"/>
    </row>
    <row r="16" spans="1:13" ht="15.2" customHeight="1" thickBot="1">
      <c r="A16" s="22"/>
      <c r="B16" s="22"/>
      <c r="C16" s="22"/>
      <c r="D16" s="26"/>
      <c r="E16" s="27" t="s">
        <v>57</v>
      </c>
      <c r="F16" s="28"/>
      <c r="G16" s="29">
        <v>20</v>
      </c>
      <c r="H16" s="29"/>
      <c r="I16" s="29"/>
      <c r="J16" s="31">
        <f>ROUND(G16,3)</f>
        <v>20</v>
      </c>
      <c r="K16" s="32"/>
      <c r="L16" s="22"/>
      <c r="M16" s="22"/>
    </row>
    <row r="17" spans="1:13" ht="21.4" customHeight="1" thickBot="1">
      <c r="A17" s="22"/>
      <c r="B17" s="22"/>
      <c r="C17" s="22"/>
      <c r="D17" s="26"/>
      <c r="E17" s="5" t="s">
        <v>58</v>
      </c>
      <c r="F17" s="3"/>
      <c r="G17" s="20">
        <v>12</v>
      </c>
      <c r="H17" s="20"/>
      <c r="I17" s="20"/>
      <c r="J17" s="30">
        <f>ROUND(G17,3)</f>
        <v>12</v>
      </c>
      <c r="K17" s="33">
        <f>SUM(J16:J17)</f>
        <v>32</v>
      </c>
      <c r="L17" s="22"/>
      <c r="M17" s="22"/>
    </row>
    <row r="18" spans="1:13" ht="15.4" customHeight="1" thickBot="1">
      <c r="A18" s="34"/>
      <c r="B18" s="34"/>
      <c r="C18" s="34"/>
      <c r="D18" s="35" t="s">
        <v>59</v>
      </c>
      <c r="E18" s="36"/>
      <c r="F18" s="36"/>
      <c r="G18" s="36"/>
      <c r="H18" s="36"/>
      <c r="I18" s="36"/>
      <c r="J18" s="36"/>
      <c r="K18" s="36"/>
      <c r="L18" s="37">
        <f>M7+M8+M9+M10+M11+M12+M13+M14</f>
        <v>2062.2799999999997</v>
      </c>
      <c r="M18" s="37">
        <f>ROUND(L18,2)</f>
        <v>2062.2800000000002</v>
      </c>
    </row>
    <row r="19" spans="1:13" ht="15.4" customHeight="1" thickBot="1">
      <c r="A19" s="38" t="s">
        <v>60</v>
      </c>
      <c r="B19" s="38" t="s">
        <v>61</v>
      </c>
      <c r="C19" s="39"/>
      <c r="D19" s="60" t="s">
        <v>62</v>
      </c>
      <c r="E19" s="60"/>
      <c r="F19" s="60"/>
      <c r="G19" s="60"/>
      <c r="H19" s="60"/>
      <c r="I19" s="60"/>
      <c r="J19" s="60"/>
      <c r="K19" s="39"/>
      <c r="L19" s="40">
        <f>L49</f>
        <v>4218.2199999999993</v>
      </c>
      <c r="M19" s="40">
        <f>ROUND(L19,2)</f>
        <v>4218.22</v>
      </c>
    </row>
    <row r="20" spans="1:13" ht="49.15" customHeight="1" thickBot="1">
      <c r="A20" s="10" t="s">
        <v>63</v>
      </c>
      <c r="B20" s="5" t="s">
        <v>64</v>
      </c>
      <c r="C20" s="5" t="s">
        <v>65</v>
      </c>
      <c r="D20" s="59" t="s">
        <v>66</v>
      </c>
      <c r="E20" s="59"/>
      <c r="F20" s="59"/>
      <c r="G20" s="59"/>
      <c r="H20" s="59"/>
      <c r="I20" s="59"/>
      <c r="J20" s="59"/>
      <c r="K20" s="20">
        <f>SUM(K22:K23)</f>
        <v>63.75</v>
      </c>
      <c r="L20" s="21">
        <f>ROUND(19.18*(1+M2/100),2)</f>
        <v>19.559999999999999</v>
      </c>
      <c r="M20" s="21">
        <f>ROUND(K20*L20,2)</f>
        <v>1246.95</v>
      </c>
    </row>
    <row r="21" spans="1:13" ht="15.2" customHeight="1" thickBot="1">
      <c r="A21" s="22"/>
      <c r="B21" s="22"/>
      <c r="C21" s="22"/>
      <c r="D21" s="22"/>
      <c r="E21" s="23"/>
      <c r="F21" s="25" t="s">
        <v>67</v>
      </c>
      <c r="G21" s="25" t="s">
        <v>68</v>
      </c>
      <c r="H21" s="25" t="s">
        <v>69</v>
      </c>
      <c r="I21" s="25" t="s">
        <v>70</v>
      </c>
      <c r="J21" s="25" t="s">
        <v>71</v>
      </c>
      <c r="K21" s="25" t="s">
        <v>72</v>
      </c>
      <c r="L21" s="22"/>
      <c r="M21" s="22"/>
    </row>
    <row r="22" spans="1:13" ht="30.6" customHeight="1" thickBot="1">
      <c r="A22" s="22"/>
      <c r="B22" s="22"/>
      <c r="C22" s="22"/>
      <c r="D22" s="26"/>
      <c r="E22" s="27" t="s">
        <v>73</v>
      </c>
      <c r="F22" s="28">
        <v>2</v>
      </c>
      <c r="G22" s="29"/>
      <c r="H22" s="29">
        <v>2.25</v>
      </c>
      <c r="I22" s="29">
        <v>7.5</v>
      </c>
      <c r="J22" s="31">
        <f>ROUND(F22*H22*I22,3)</f>
        <v>33.75</v>
      </c>
      <c r="K22" s="32"/>
      <c r="L22" s="22"/>
      <c r="M22" s="22"/>
    </row>
    <row r="23" spans="1:13" ht="15.2" customHeight="1" thickBot="1">
      <c r="A23" s="22"/>
      <c r="B23" s="22"/>
      <c r="C23" s="22"/>
      <c r="D23" s="26"/>
      <c r="E23" s="5" t="s">
        <v>74</v>
      </c>
      <c r="F23" s="3"/>
      <c r="G23" s="20"/>
      <c r="H23" s="20">
        <v>4</v>
      </c>
      <c r="I23" s="20">
        <v>7.5</v>
      </c>
      <c r="J23" s="30">
        <f>ROUND(H23*I23,3)</f>
        <v>30</v>
      </c>
      <c r="K23" s="33">
        <f>SUM(J22:J23)</f>
        <v>63.75</v>
      </c>
      <c r="L23" s="22"/>
      <c r="M23" s="22"/>
    </row>
    <row r="24" spans="1:13" ht="21.4" customHeight="1" thickBot="1">
      <c r="A24" s="10" t="s">
        <v>75</v>
      </c>
      <c r="B24" s="5" t="s">
        <v>76</v>
      </c>
      <c r="C24" s="5" t="s">
        <v>77</v>
      </c>
      <c r="D24" s="59" t="s">
        <v>78</v>
      </c>
      <c r="E24" s="59"/>
      <c r="F24" s="59"/>
      <c r="G24" s="59"/>
      <c r="H24" s="59"/>
      <c r="I24" s="59"/>
      <c r="J24" s="59"/>
      <c r="K24" s="20">
        <f>SUM(K26:K28)</f>
        <v>66.39</v>
      </c>
      <c r="L24" s="21">
        <f>ROUND(8.46*(1+M2/100),2)</f>
        <v>8.6300000000000008</v>
      </c>
      <c r="M24" s="21">
        <f>ROUND(K24*L24,2)</f>
        <v>572.95000000000005</v>
      </c>
    </row>
    <row r="25" spans="1:13" ht="15.2" customHeight="1" thickBot="1">
      <c r="A25" s="22"/>
      <c r="B25" s="22"/>
      <c r="C25" s="22"/>
      <c r="D25" s="22"/>
      <c r="E25" s="23"/>
      <c r="F25" s="25" t="s">
        <v>79</v>
      </c>
      <c r="G25" s="25" t="s">
        <v>80</v>
      </c>
      <c r="H25" s="25" t="s">
        <v>81</v>
      </c>
      <c r="I25" s="25" t="s">
        <v>82</v>
      </c>
      <c r="J25" s="25" t="s">
        <v>83</v>
      </c>
      <c r="K25" s="25" t="s">
        <v>84</v>
      </c>
      <c r="L25" s="22"/>
      <c r="M25" s="22"/>
    </row>
    <row r="26" spans="1:13" ht="15.2" customHeight="1" thickBot="1">
      <c r="A26" s="22"/>
      <c r="B26" s="22"/>
      <c r="C26" s="22"/>
      <c r="D26" s="26"/>
      <c r="E26" s="27" t="s">
        <v>85</v>
      </c>
      <c r="F26" s="28"/>
      <c r="G26" s="29"/>
      <c r="H26" s="29">
        <v>1.2</v>
      </c>
      <c r="I26" s="29">
        <v>2.2000000000000002</v>
      </c>
      <c r="J26" s="31">
        <f>ROUND(H26*I26,3)</f>
        <v>2.64</v>
      </c>
      <c r="K26" s="32"/>
      <c r="L26" s="22"/>
      <c r="M26" s="22"/>
    </row>
    <row r="27" spans="1:13" ht="30.6" customHeight="1" thickBot="1">
      <c r="A27" s="22"/>
      <c r="B27" s="22"/>
      <c r="C27" s="22"/>
      <c r="D27" s="26"/>
      <c r="E27" s="5" t="s">
        <v>86</v>
      </c>
      <c r="F27" s="3">
        <v>2</v>
      </c>
      <c r="G27" s="20"/>
      <c r="H27" s="20">
        <v>2.25</v>
      </c>
      <c r="I27" s="20">
        <v>7.5</v>
      </c>
      <c r="J27" s="30">
        <f>ROUND(F27*H27*I27,3)</f>
        <v>33.75</v>
      </c>
      <c r="K27" s="22"/>
      <c r="L27" s="22"/>
      <c r="M27" s="22"/>
    </row>
    <row r="28" spans="1:13" ht="15.2" customHeight="1" thickBot="1">
      <c r="A28" s="22"/>
      <c r="B28" s="22"/>
      <c r="C28" s="22"/>
      <c r="D28" s="26"/>
      <c r="E28" s="5" t="s">
        <v>87</v>
      </c>
      <c r="F28" s="3"/>
      <c r="G28" s="20"/>
      <c r="H28" s="20">
        <v>4</v>
      </c>
      <c r="I28" s="20">
        <v>7.5</v>
      </c>
      <c r="J28" s="30">
        <f>ROUND(H28*I28,3)</f>
        <v>30</v>
      </c>
      <c r="K28" s="33">
        <f>SUM(J26:J28)</f>
        <v>66.39</v>
      </c>
      <c r="L28" s="22"/>
      <c r="M28" s="22"/>
    </row>
    <row r="29" spans="1:13" ht="30.6" customHeight="1" thickBot="1">
      <c r="A29" s="10" t="s">
        <v>88</v>
      </c>
      <c r="B29" s="5" t="s">
        <v>89</v>
      </c>
      <c r="C29" s="5" t="s">
        <v>90</v>
      </c>
      <c r="D29" s="59" t="s">
        <v>91</v>
      </c>
      <c r="E29" s="59"/>
      <c r="F29" s="59"/>
      <c r="G29" s="59"/>
      <c r="H29" s="59"/>
      <c r="I29" s="59"/>
      <c r="J29" s="59"/>
      <c r="K29" s="20">
        <f>SUM(K31:K32)</f>
        <v>4.6400000000000006</v>
      </c>
      <c r="L29" s="21">
        <f>ROUND(14.09*(1+M2/100),2)</f>
        <v>14.37</v>
      </c>
      <c r="M29" s="21">
        <f>ROUND(K29*L29,2)</f>
        <v>66.680000000000007</v>
      </c>
    </row>
    <row r="30" spans="1:13" ht="15.2" customHeight="1" thickBot="1">
      <c r="A30" s="22"/>
      <c r="B30" s="22"/>
      <c r="C30" s="22"/>
      <c r="D30" s="22"/>
      <c r="E30" s="23"/>
      <c r="F30" s="25" t="s">
        <v>92</v>
      </c>
      <c r="G30" s="25" t="s">
        <v>93</v>
      </c>
      <c r="H30" s="25" t="s">
        <v>94</v>
      </c>
      <c r="I30" s="25" t="s">
        <v>95</v>
      </c>
      <c r="J30" s="25" t="s">
        <v>96</v>
      </c>
      <c r="K30" s="25" t="s">
        <v>97</v>
      </c>
      <c r="L30" s="22"/>
      <c r="M30" s="22"/>
    </row>
    <row r="31" spans="1:13" ht="15.2" customHeight="1" thickBot="1">
      <c r="A31" s="22"/>
      <c r="B31" s="22"/>
      <c r="C31" s="22"/>
      <c r="D31" s="26"/>
      <c r="E31" s="27" t="s">
        <v>98</v>
      </c>
      <c r="F31" s="28"/>
      <c r="G31" s="29"/>
      <c r="H31" s="29">
        <v>1</v>
      </c>
      <c r="I31" s="29">
        <v>2</v>
      </c>
      <c r="J31" s="31">
        <f>ROUND(H31*I31,3)</f>
        <v>2</v>
      </c>
      <c r="K31" s="32"/>
      <c r="L31" s="22"/>
      <c r="M31" s="22"/>
    </row>
    <row r="32" spans="1:13" ht="15.2" customHeight="1" thickBot="1">
      <c r="A32" s="22"/>
      <c r="B32" s="22"/>
      <c r="C32" s="22"/>
      <c r="D32" s="26"/>
      <c r="E32" s="5" t="s">
        <v>99</v>
      </c>
      <c r="F32" s="3"/>
      <c r="G32" s="20"/>
      <c r="H32" s="20">
        <v>1.2</v>
      </c>
      <c r="I32" s="20">
        <v>2.2000000000000002</v>
      </c>
      <c r="J32" s="30">
        <f>ROUND(H32*I32,3)</f>
        <v>2.64</v>
      </c>
      <c r="K32" s="33">
        <f>SUM(J31:J32)</f>
        <v>4.6400000000000006</v>
      </c>
      <c r="L32" s="22"/>
      <c r="M32" s="22"/>
    </row>
    <row r="33" spans="1:13" ht="30.6" customHeight="1" thickBot="1">
      <c r="A33" s="10" t="s">
        <v>100</v>
      </c>
      <c r="B33" s="5" t="s">
        <v>101</v>
      </c>
      <c r="C33" s="5" t="s">
        <v>102</v>
      </c>
      <c r="D33" s="59" t="s">
        <v>103</v>
      </c>
      <c r="E33" s="59"/>
      <c r="F33" s="59"/>
      <c r="G33" s="59"/>
      <c r="H33" s="59"/>
      <c r="I33" s="59"/>
      <c r="J33" s="59"/>
      <c r="K33" s="20">
        <f>SUM(K35:K35)</f>
        <v>3.0379999999999998</v>
      </c>
      <c r="L33" s="21">
        <f>ROUND(324.87*(1+M2/100),2)</f>
        <v>331.37</v>
      </c>
      <c r="M33" s="21">
        <f>ROUND(K33*L33,2)</f>
        <v>1006.7</v>
      </c>
    </row>
    <row r="34" spans="1:13" ht="15.2" customHeight="1" thickBot="1">
      <c r="A34" s="22"/>
      <c r="B34" s="22"/>
      <c r="C34" s="22"/>
      <c r="D34" s="22"/>
      <c r="E34" s="23"/>
      <c r="F34" s="25" t="s">
        <v>104</v>
      </c>
      <c r="G34" s="25" t="s">
        <v>105</v>
      </c>
      <c r="H34" s="25" t="s">
        <v>106</v>
      </c>
      <c r="I34" s="25" t="s">
        <v>107</v>
      </c>
      <c r="J34" s="25" t="s">
        <v>108</v>
      </c>
      <c r="K34" s="25" t="s">
        <v>109</v>
      </c>
      <c r="L34" s="22"/>
      <c r="M34" s="22"/>
    </row>
    <row r="35" spans="1:13" ht="15.2" customHeight="1" thickBot="1">
      <c r="A35" s="22"/>
      <c r="B35" s="22"/>
      <c r="C35" s="22"/>
      <c r="D35" s="26"/>
      <c r="E35" s="27"/>
      <c r="F35" s="28"/>
      <c r="G35" s="29">
        <v>2.25</v>
      </c>
      <c r="H35" s="29">
        <v>0.5</v>
      </c>
      <c r="I35" s="29">
        <v>2.7</v>
      </c>
      <c r="J35" s="31">
        <f>ROUND(G35*H35*I35,3)</f>
        <v>3.0379999999999998</v>
      </c>
      <c r="K35" s="41">
        <f>SUM(J35:J35)</f>
        <v>3.0379999999999998</v>
      </c>
      <c r="L35" s="22"/>
      <c r="M35" s="22"/>
    </row>
    <row r="36" spans="1:13" ht="15.4" customHeight="1" thickBot="1">
      <c r="A36" s="10" t="s">
        <v>110</v>
      </c>
      <c r="B36" s="5" t="s">
        <v>111</v>
      </c>
      <c r="C36" s="5" t="s">
        <v>112</v>
      </c>
      <c r="D36" s="59" t="s">
        <v>113</v>
      </c>
      <c r="E36" s="59"/>
      <c r="F36" s="59"/>
      <c r="G36" s="59"/>
      <c r="H36" s="59"/>
      <c r="I36" s="59"/>
      <c r="J36" s="59"/>
      <c r="K36" s="20">
        <f>ROUND(1.5,2)</f>
        <v>1.5</v>
      </c>
      <c r="L36" s="21">
        <f>ROUND(47.044*(1+M2/100),2)</f>
        <v>47.98</v>
      </c>
      <c r="M36" s="21">
        <f>ROUND(K36*L36,2)</f>
        <v>71.97</v>
      </c>
    </row>
    <row r="37" spans="1:13" ht="21.4" customHeight="1" thickBot="1">
      <c r="A37" s="10" t="s">
        <v>114</v>
      </c>
      <c r="B37" s="5" t="s">
        <v>115</v>
      </c>
      <c r="C37" s="5" t="s">
        <v>116</v>
      </c>
      <c r="D37" s="59" t="s">
        <v>117</v>
      </c>
      <c r="E37" s="59"/>
      <c r="F37" s="59"/>
      <c r="G37" s="59"/>
      <c r="H37" s="59"/>
      <c r="I37" s="59"/>
      <c r="J37" s="59"/>
      <c r="K37" s="20">
        <f>ROUND(3,2)</f>
        <v>3</v>
      </c>
      <c r="L37" s="21">
        <f>ROUND(40.458*(1+M2/100),2)</f>
        <v>41.27</v>
      </c>
      <c r="M37" s="21">
        <f>ROUND(K37*L37,2)</f>
        <v>123.81</v>
      </c>
    </row>
    <row r="38" spans="1:13" ht="30.6" customHeight="1" thickBot="1">
      <c r="A38" s="10" t="s">
        <v>118</v>
      </c>
      <c r="B38" s="5" t="s">
        <v>119</v>
      </c>
      <c r="C38" s="5" t="s">
        <v>120</v>
      </c>
      <c r="D38" s="59" t="s">
        <v>121</v>
      </c>
      <c r="E38" s="59"/>
      <c r="F38" s="59"/>
      <c r="G38" s="59"/>
      <c r="H38" s="59"/>
      <c r="I38" s="59"/>
      <c r="J38" s="59"/>
      <c r="K38" s="20">
        <f>SUM(K40:K42)</f>
        <v>0.501</v>
      </c>
      <c r="L38" s="21">
        <f>ROUND(577.16*(1+M2/100),2)</f>
        <v>588.70000000000005</v>
      </c>
      <c r="M38" s="21">
        <f>ROUND(K38*L38,2)</f>
        <v>294.94</v>
      </c>
    </row>
    <row r="39" spans="1:13" ht="15.2" customHeight="1" thickBot="1">
      <c r="A39" s="22"/>
      <c r="B39" s="22"/>
      <c r="C39" s="22"/>
      <c r="D39" s="22"/>
      <c r="E39" s="23"/>
      <c r="F39" s="25" t="s">
        <v>122</v>
      </c>
      <c r="G39" s="25" t="s">
        <v>123</v>
      </c>
      <c r="H39" s="25" t="s">
        <v>124</v>
      </c>
      <c r="I39" s="25" t="s">
        <v>125</v>
      </c>
      <c r="J39" s="25" t="s">
        <v>126</v>
      </c>
      <c r="K39" s="25" t="s">
        <v>127</v>
      </c>
      <c r="L39" s="22"/>
      <c r="M39" s="22"/>
    </row>
    <row r="40" spans="1:13" ht="15.2" customHeight="1" thickBot="1">
      <c r="A40" s="22"/>
      <c r="B40" s="22"/>
      <c r="C40" s="22"/>
      <c r="D40" s="26"/>
      <c r="E40" s="27" t="s">
        <v>128</v>
      </c>
      <c r="F40" s="28">
        <v>2</v>
      </c>
      <c r="G40" s="29">
        <v>4</v>
      </c>
      <c r="H40" s="29">
        <v>0.1</v>
      </c>
      <c r="I40" s="29">
        <v>0.2</v>
      </c>
      <c r="J40" s="31">
        <f>ROUND(F40*G40*H40*I40,3)</f>
        <v>0.16</v>
      </c>
      <c r="K40" s="32"/>
      <c r="L40" s="22"/>
      <c r="M40" s="22"/>
    </row>
    <row r="41" spans="1:13" ht="30.6" customHeight="1" thickBot="1">
      <c r="A41" s="22"/>
      <c r="B41" s="22"/>
      <c r="C41" s="22"/>
      <c r="D41" s="26"/>
      <c r="E41" s="5" t="s">
        <v>129</v>
      </c>
      <c r="F41" s="3">
        <v>7</v>
      </c>
      <c r="G41" s="20">
        <v>3</v>
      </c>
      <c r="H41" s="20">
        <v>0.08</v>
      </c>
      <c r="I41" s="20">
        <v>0.16</v>
      </c>
      <c r="J41" s="30">
        <f>ROUND(F41*G41*H41*I41,3)</f>
        <v>0.26900000000000002</v>
      </c>
      <c r="K41" s="22"/>
      <c r="L41" s="22"/>
      <c r="M41" s="22"/>
    </row>
    <row r="42" spans="1:13" ht="15.2" customHeight="1" thickBot="1">
      <c r="A42" s="22"/>
      <c r="B42" s="22"/>
      <c r="C42" s="22"/>
      <c r="D42" s="26"/>
      <c r="E42" s="5" t="s">
        <v>130</v>
      </c>
      <c r="F42" s="3">
        <v>3</v>
      </c>
      <c r="G42" s="20">
        <v>1.2</v>
      </c>
      <c r="H42" s="20">
        <v>0.2</v>
      </c>
      <c r="I42" s="20">
        <v>0.1</v>
      </c>
      <c r="J42" s="30">
        <f>ROUND(F42*G42*H42*I42,3)</f>
        <v>7.1999999999999995E-2</v>
      </c>
      <c r="K42" s="33">
        <f>SUM(J40:J42)</f>
        <v>0.501</v>
      </c>
      <c r="L42" s="22"/>
      <c r="M42" s="22"/>
    </row>
    <row r="43" spans="1:13" ht="67.5" customHeight="1" thickBot="1">
      <c r="A43" s="10" t="s">
        <v>131</v>
      </c>
      <c r="B43" s="5" t="s">
        <v>132</v>
      </c>
      <c r="C43" s="5" t="s">
        <v>133</v>
      </c>
      <c r="D43" s="59" t="s">
        <v>134</v>
      </c>
      <c r="E43" s="59"/>
      <c r="F43" s="59"/>
      <c r="G43" s="59"/>
      <c r="H43" s="59"/>
      <c r="I43" s="59"/>
      <c r="J43" s="59"/>
      <c r="K43" s="20">
        <f>SUM(K45:K45)</f>
        <v>11.97</v>
      </c>
      <c r="L43" s="21">
        <f>ROUND(43.02*(1+M2/100),2)</f>
        <v>43.88</v>
      </c>
      <c r="M43" s="21">
        <f>ROUND(K43*L43,2)</f>
        <v>525.24</v>
      </c>
    </row>
    <row r="44" spans="1:13" ht="15.2" customHeight="1" thickBot="1">
      <c r="A44" s="22"/>
      <c r="B44" s="22"/>
      <c r="C44" s="22"/>
      <c r="D44" s="22"/>
      <c r="E44" s="23"/>
      <c r="F44" s="25" t="s">
        <v>135</v>
      </c>
      <c r="G44" s="25" t="s">
        <v>136</v>
      </c>
      <c r="H44" s="25" t="s">
        <v>137</v>
      </c>
      <c r="I44" s="25" t="s">
        <v>138</v>
      </c>
      <c r="J44" s="25" t="s">
        <v>139</v>
      </c>
      <c r="K44" s="25" t="s">
        <v>140</v>
      </c>
      <c r="L44" s="22"/>
      <c r="M44" s="22"/>
    </row>
    <row r="45" spans="1:13" ht="15.2" customHeight="1" thickBot="1">
      <c r="A45" s="22"/>
      <c r="B45" s="22"/>
      <c r="C45" s="22"/>
      <c r="D45" s="26"/>
      <c r="E45" s="27" t="s">
        <v>141</v>
      </c>
      <c r="F45" s="28"/>
      <c r="G45" s="29">
        <v>2.85</v>
      </c>
      <c r="H45" s="29">
        <v>4.2</v>
      </c>
      <c r="I45" s="29"/>
      <c r="J45" s="31">
        <f>ROUND(G45*H45,3)</f>
        <v>11.97</v>
      </c>
      <c r="K45" s="41">
        <f>SUM(J45:J45)</f>
        <v>11.97</v>
      </c>
      <c r="L45" s="22"/>
      <c r="M45" s="22"/>
    </row>
    <row r="46" spans="1:13" ht="21.4" customHeight="1" thickBot="1">
      <c r="A46" s="10" t="s">
        <v>142</v>
      </c>
      <c r="B46" s="5" t="s">
        <v>143</v>
      </c>
      <c r="C46" s="5" t="s">
        <v>144</v>
      </c>
      <c r="D46" s="59" t="s">
        <v>145</v>
      </c>
      <c r="E46" s="59"/>
      <c r="F46" s="59"/>
      <c r="G46" s="59"/>
      <c r="H46" s="59"/>
      <c r="I46" s="59"/>
      <c r="J46" s="59"/>
      <c r="K46" s="20">
        <f>SUM(K48:K48)</f>
        <v>6.88</v>
      </c>
      <c r="L46" s="21">
        <f>ROUND(44.032*(1+M2/100),2)</f>
        <v>44.91</v>
      </c>
      <c r="M46" s="21">
        <f>ROUND(K46*L46,2)</f>
        <v>308.98</v>
      </c>
    </row>
    <row r="47" spans="1:13" ht="15.2" customHeight="1" thickBot="1">
      <c r="A47" s="22"/>
      <c r="B47" s="22"/>
      <c r="C47" s="22"/>
      <c r="D47" s="22"/>
      <c r="E47" s="23"/>
      <c r="F47" s="25" t="s">
        <v>146</v>
      </c>
      <c r="G47" s="25" t="s">
        <v>147</v>
      </c>
      <c r="H47" s="25" t="s">
        <v>148</v>
      </c>
      <c r="I47" s="25" t="s">
        <v>149</v>
      </c>
      <c r="J47" s="25" t="s">
        <v>150</v>
      </c>
      <c r="K47" s="25" t="s">
        <v>151</v>
      </c>
      <c r="L47" s="22"/>
      <c r="M47" s="22"/>
    </row>
    <row r="48" spans="1:13" ht="15.2" customHeight="1" thickBot="1">
      <c r="A48" s="22"/>
      <c r="B48" s="22"/>
      <c r="C48" s="22"/>
      <c r="D48" s="26"/>
      <c r="E48" s="27"/>
      <c r="F48" s="28">
        <v>2</v>
      </c>
      <c r="G48" s="29">
        <v>4.3</v>
      </c>
      <c r="H48" s="29">
        <v>0.8</v>
      </c>
      <c r="I48" s="29"/>
      <c r="J48" s="31">
        <f>ROUND(F48*G48*H48,3)</f>
        <v>6.88</v>
      </c>
      <c r="K48" s="41">
        <f>SUM(J48:J48)</f>
        <v>6.88</v>
      </c>
      <c r="L48" s="22"/>
      <c r="M48" s="22"/>
    </row>
    <row r="49" spans="1:13" ht="15.4" customHeight="1" thickBot="1">
      <c r="A49" s="34"/>
      <c r="B49" s="34"/>
      <c r="C49" s="34"/>
      <c r="D49" s="35" t="s">
        <v>152</v>
      </c>
      <c r="E49" s="36"/>
      <c r="F49" s="36"/>
      <c r="G49" s="36"/>
      <c r="H49" s="36"/>
      <c r="I49" s="36"/>
      <c r="J49" s="36"/>
      <c r="K49" s="36"/>
      <c r="L49" s="37">
        <f>M20+M24+M29+M33+M36+M37+M38+M43+M46</f>
        <v>4218.2199999999993</v>
      </c>
      <c r="M49" s="37">
        <f>ROUND(L49,2)</f>
        <v>4218.22</v>
      </c>
    </row>
    <row r="50" spans="1:13" ht="15.4" customHeight="1" thickBot="1">
      <c r="A50" s="38" t="s">
        <v>153</v>
      </c>
      <c r="B50" s="38" t="s">
        <v>154</v>
      </c>
      <c r="C50" s="39"/>
      <c r="D50" s="60" t="s">
        <v>155</v>
      </c>
      <c r="E50" s="60"/>
      <c r="F50" s="60"/>
      <c r="G50" s="60"/>
      <c r="H50" s="60"/>
      <c r="I50" s="60"/>
      <c r="J50" s="60"/>
      <c r="K50" s="39"/>
      <c r="L50" s="40">
        <f>L61</f>
        <v>4305.2</v>
      </c>
      <c r="M50" s="40">
        <f>ROUND(L50,2)</f>
        <v>4305.2</v>
      </c>
    </row>
    <row r="51" spans="1:13" ht="15.4" customHeight="1" thickBot="1">
      <c r="A51" s="10" t="s">
        <v>156</v>
      </c>
      <c r="B51" s="5" t="s">
        <v>157</v>
      </c>
      <c r="C51" s="5" t="s">
        <v>158</v>
      </c>
      <c r="D51" s="59" t="s">
        <v>159</v>
      </c>
      <c r="E51" s="59"/>
      <c r="F51" s="59"/>
      <c r="G51" s="59"/>
      <c r="H51" s="59"/>
      <c r="I51" s="59"/>
      <c r="J51" s="59"/>
      <c r="K51" s="20">
        <f>ROUND(1,2)</f>
        <v>1</v>
      </c>
      <c r="L51" s="21">
        <f>ROUND(82.05*(1+M2/100),2)</f>
        <v>83.69</v>
      </c>
      <c r="M51" s="21">
        <f>ROUND(K51*L51,2)</f>
        <v>83.69</v>
      </c>
    </row>
    <row r="52" spans="1:13" ht="39.75" customHeight="1" thickBot="1">
      <c r="A52" s="10" t="s">
        <v>160</v>
      </c>
      <c r="B52" s="5" t="s">
        <v>161</v>
      </c>
      <c r="C52" s="5" t="s">
        <v>162</v>
      </c>
      <c r="D52" s="59" t="s">
        <v>163</v>
      </c>
      <c r="E52" s="59"/>
      <c r="F52" s="59"/>
      <c r="G52" s="59"/>
      <c r="H52" s="59"/>
      <c r="I52" s="59"/>
      <c r="J52" s="59"/>
      <c r="K52" s="20">
        <f>SUM(K54:K55)</f>
        <v>3.3</v>
      </c>
      <c r="L52" s="21">
        <f>ROUND(236.36*(1+M2/100),2)</f>
        <v>241.09</v>
      </c>
      <c r="M52" s="21">
        <f>ROUND(K52*L52,2)</f>
        <v>795.6</v>
      </c>
    </row>
    <row r="53" spans="1:13" ht="15.2" customHeight="1" thickBot="1">
      <c r="A53" s="22"/>
      <c r="B53" s="22"/>
      <c r="C53" s="22"/>
      <c r="D53" s="22"/>
      <c r="E53" s="23"/>
      <c r="F53" s="25" t="s">
        <v>164</v>
      </c>
      <c r="G53" s="25" t="s">
        <v>165</v>
      </c>
      <c r="H53" s="25" t="s">
        <v>166</v>
      </c>
      <c r="I53" s="25" t="s">
        <v>167</v>
      </c>
      <c r="J53" s="25" t="s">
        <v>168</v>
      </c>
      <c r="K53" s="25" t="s">
        <v>169</v>
      </c>
      <c r="L53" s="22"/>
      <c r="M53" s="22"/>
    </row>
    <row r="54" spans="1:13" ht="21.4" customHeight="1" thickBot="1">
      <c r="A54" s="22"/>
      <c r="B54" s="22"/>
      <c r="C54" s="22"/>
      <c r="D54" s="26"/>
      <c r="E54" s="27" t="s">
        <v>170</v>
      </c>
      <c r="F54" s="28"/>
      <c r="G54" s="29">
        <v>3.3</v>
      </c>
      <c r="H54" s="29"/>
      <c r="I54" s="29"/>
      <c r="J54" s="31">
        <f>ROUND(G54,3)</f>
        <v>3.3</v>
      </c>
      <c r="K54" s="32"/>
      <c r="L54" s="22"/>
      <c r="M54" s="22"/>
    </row>
    <row r="55" spans="1:13" ht="15.2" customHeight="1" thickBot="1">
      <c r="A55" s="22"/>
      <c r="B55" s="22"/>
      <c r="C55" s="22"/>
      <c r="D55" s="26"/>
      <c r="E55" s="5"/>
      <c r="F55" s="3"/>
      <c r="G55" s="20"/>
      <c r="H55" s="20"/>
      <c r="I55" s="20"/>
      <c r="J55" s="24" t="s">
        <v>171</v>
      </c>
      <c r="K55" s="33">
        <f>SUM(J54:J55)</f>
        <v>3.3</v>
      </c>
      <c r="L55" s="22"/>
      <c r="M55" s="22"/>
    </row>
    <row r="56" spans="1:13" ht="21.4" customHeight="1" thickBot="1">
      <c r="A56" s="10" t="s">
        <v>172</v>
      </c>
      <c r="B56" s="5" t="s">
        <v>173</v>
      </c>
      <c r="C56" s="5" t="s">
        <v>174</v>
      </c>
      <c r="D56" s="59" t="s">
        <v>175</v>
      </c>
      <c r="E56" s="59"/>
      <c r="F56" s="59"/>
      <c r="G56" s="59"/>
      <c r="H56" s="59"/>
      <c r="I56" s="59"/>
      <c r="J56" s="59"/>
      <c r="K56" s="20">
        <f>ROUND(1,2)</f>
        <v>1</v>
      </c>
      <c r="L56" s="21">
        <f>ROUND(85.79*(1+M2/100),2)</f>
        <v>87.51</v>
      </c>
      <c r="M56" s="21">
        <f>ROUND(K56*L56,2)</f>
        <v>87.51</v>
      </c>
    </row>
    <row r="57" spans="1:13" ht="21.4" customHeight="1" thickBot="1">
      <c r="A57" s="10" t="s">
        <v>176</v>
      </c>
      <c r="B57" s="5" t="s">
        <v>177</v>
      </c>
      <c r="C57" s="5" t="s">
        <v>178</v>
      </c>
      <c r="D57" s="59" t="s">
        <v>179</v>
      </c>
      <c r="E57" s="59"/>
      <c r="F57" s="59"/>
      <c r="G57" s="59"/>
      <c r="H57" s="59"/>
      <c r="I57" s="59"/>
      <c r="J57" s="59"/>
      <c r="K57" s="20">
        <f>ROUND(1,2)</f>
        <v>1</v>
      </c>
      <c r="L57" s="21">
        <f>ROUND(75.96*(1+M2/100),2)</f>
        <v>77.48</v>
      </c>
      <c r="M57" s="21">
        <f>ROUND(K57*L57,2)</f>
        <v>77.48</v>
      </c>
    </row>
    <row r="58" spans="1:13" ht="30.6" customHeight="1" thickBot="1">
      <c r="A58" s="10" t="s">
        <v>180</v>
      </c>
      <c r="B58" s="5" t="s">
        <v>181</v>
      </c>
      <c r="C58" s="5" t="s">
        <v>182</v>
      </c>
      <c r="D58" s="59" t="s">
        <v>183</v>
      </c>
      <c r="E58" s="59"/>
      <c r="F58" s="59"/>
      <c r="G58" s="59"/>
      <c r="H58" s="59"/>
      <c r="I58" s="59"/>
      <c r="J58" s="59"/>
      <c r="K58" s="20">
        <f>ROUND(1,2)</f>
        <v>1</v>
      </c>
      <c r="L58" s="21">
        <f>ROUND(450.7*(1+M2/100),2)</f>
        <v>459.71</v>
      </c>
      <c r="M58" s="21">
        <f>ROUND(K58*L58,2)</f>
        <v>459.71</v>
      </c>
    </row>
    <row r="59" spans="1:13" ht="49.15" customHeight="1" thickBot="1">
      <c r="A59" s="10" t="s">
        <v>184</v>
      </c>
      <c r="B59" s="5" t="s">
        <v>185</v>
      </c>
      <c r="C59" s="5" t="s">
        <v>186</v>
      </c>
      <c r="D59" s="59" t="s">
        <v>187</v>
      </c>
      <c r="E59" s="59"/>
      <c r="F59" s="59"/>
      <c r="G59" s="59"/>
      <c r="H59" s="59"/>
      <c r="I59" s="59"/>
      <c r="J59" s="59"/>
      <c r="K59" s="20">
        <f>ROUND(1,2)</f>
        <v>1</v>
      </c>
      <c r="L59" s="21">
        <f>ROUND(2330.779*(1+M2/100),2)</f>
        <v>2377.39</v>
      </c>
      <c r="M59" s="21">
        <f>ROUND(K59*L59,2)</f>
        <v>2377.39</v>
      </c>
    </row>
    <row r="60" spans="1:13" ht="39.75" customHeight="1" thickBot="1">
      <c r="A60" s="10" t="s">
        <v>188</v>
      </c>
      <c r="B60" s="5" t="s">
        <v>189</v>
      </c>
      <c r="C60" s="5" t="s">
        <v>190</v>
      </c>
      <c r="D60" s="59" t="s">
        <v>191</v>
      </c>
      <c r="E60" s="59"/>
      <c r="F60" s="59"/>
      <c r="G60" s="59"/>
      <c r="H60" s="59"/>
      <c r="I60" s="59"/>
      <c r="J60" s="59"/>
      <c r="K60" s="20">
        <f>ROUND(1,2)</f>
        <v>1</v>
      </c>
      <c r="L60" s="21">
        <f>ROUND(415.514*(1+M2/100),2)</f>
        <v>423.82</v>
      </c>
      <c r="M60" s="21">
        <f>ROUND(K60*L60,2)</f>
        <v>423.82</v>
      </c>
    </row>
    <row r="61" spans="1:13" ht="15.4" customHeight="1" thickBot="1">
      <c r="A61" s="34"/>
      <c r="B61" s="34"/>
      <c r="C61" s="34"/>
      <c r="D61" s="35" t="s">
        <v>192</v>
      </c>
      <c r="E61" s="36"/>
      <c r="F61" s="36"/>
      <c r="G61" s="36"/>
      <c r="H61" s="36"/>
      <c r="I61" s="36"/>
      <c r="J61" s="36"/>
      <c r="K61" s="36"/>
      <c r="L61" s="37">
        <f>M51+M52+M56+M57+M58+M59+M60</f>
        <v>4305.2</v>
      </c>
      <c r="M61" s="37">
        <f>ROUND(L61,2)</f>
        <v>4305.2</v>
      </c>
    </row>
    <row r="62" spans="1:13" ht="15.4" customHeight="1" thickBot="1">
      <c r="A62" s="42"/>
      <c r="B62" s="42"/>
      <c r="C62" s="42"/>
      <c r="D62" s="43" t="s">
        <v>193</v>
      </c>
      <c r="E62" s="44"/>
      <c r="F62" s="44"/>
      <c r="G62" s="44"/>
      <c r="H62" s="44"/>
      <c r="I62" s="44"/>
      <c r="J62" s="44"/>
      <c r="K62" s="44"/>
      <c r="L62" s="45">
        <f>M18+M49+M61</f>
        <v>10585.7</v>
      </c>
      <c r="M62" s="45">
        <f>ROUND(L62,2)</f>
        <v>10585.7</v>
      </c>
    </row>
    <row r="63" spans="1:13" ht="15.4" customHeight="1" thickBot="1">
      <c r="A63" s="46" t="s">
        <v>194</v>
      </c>
      <c r="B63" s="46" t="s">
        <v>195</v>
      </c>
      <c r="C63" s="47"/>
      <c r="D63" s="61" t="s">
        <v>196</v>
      </c>
      <c r="E63" s="61"/>
      <c r="F63" s="61"/>
      <c r="G63" s="61"/>
      <c r="H63" s="61"/>
      <c r="I63" s="61"/>
      <c r="J63" s="61"/>
      <c r="K63" s="47"/>
      <c r="L63" s="48">
        <f>L221</f>
        <v>46000</v>
      </c>
      <c r="M63" s="48">
        <f>ROUND(L63,2)</f>
        <v>46000</v>
      </c>
    </row>
    <row r="64" spans="1:13" ht="30.6" customHeight="1" thickBot="1">
      <c r="A64" s="10" t="s">
        <v>197</v>
      </c>
      <c r="B64" s="5" t="s">
        <v>198</v>
      </c>
      <c r="C64" s="5" t="s">
        <v>199</v>
      </c>
      <c r="D64" s="59" t="s">
        <v>200</v>
      </c>
      <c r="E64" s="59"/>
      <c r="F64" s="59"/>
      <c r="G64" s="59"/>
      <c r="H64" s="59"/>
      <c r="I64" s="59"/>
      <c r="J64" s="59"/>
      <c r="K64" s="20">
        <f>SUM(K66:K71)</f>
        <v>199.70999999999998</v>
      </c>
      <c r="L64" s="21">
        <f>ROUND(20.39*(1+M2/100),2)</f>
        <v>20.8</v>
      </c>
      <c r="M64" s="21">
        <f>ROUND(K64*L64,2)</f>
        <v>4153.97</v>
      </c>
    </row>
    <row r="65" spans="1:13" ht="15.2" customHeight="1" thickBot="1">
      <c r="A65" s="22"/>
      <c r="B65" s="22"/>
      <c r="C65" s="22"/>
      <c r="D65" s="22"/>
      <c r="E65" s="23"/>
      <c r="F65" s="25" t="s">
        <v>201</v>
      </c>
      <c r="G65" s="25" t="s">
        <v>202</v>
      </c>
      <c r="H65" s="25" t="s">
        <v>203</v>
      </c>
      <c r="I65" s="25" t="s">
        <v>204</v>
      </c>
      <c r="J65" s="25" t="s">
        <v>205</v>
      </c>
      <c r="K65" s="25" t="s">
        <v>206</v>
      </c>
      <c r="L65" s="22"/>
      <c r="M65" s="22"/>
    </row>
    <row r="66" spans="1:13" ht="15.2" customHeight="1" thickBot="1">
      <c r="A66" s="22"/>
      <c r="B66" s="22"/>
      <c r="C66" s="22"/>
      <c r="D66" s="26"/>
      <c r="E66" s="27"/>
      <c r="F66" s="28"/>
      <c r="G66" s="29">
        <v>123.75</v>
      </c>
      <c r="H66" s="29"/>
      <c r="I66" s="29"/>
      <c r="J66" s="31">
        <f t="shared" ref="J66:J71" si="1">ROUND(G66,3)</f>
        <v>123.75</v>
      </c>
      <c r="K66" s="32"/>
      <c r="L66" s="22"/>
      <c r="M66" s="22"/>
    </row>
    <row r="67" spans="1:13" ht="15.2" customHeight="1" thickBot="1">
      <c r="A67" s="22"/>
      <c r="B67" s="22"/>
      <c r="C67" s="22"/>
      <c r="D67" s="26"/>
      <c r="E67" s="5"/>
      <c r="F67" s="3"/>
      <c r="G67" s="20">
        <v>11.63</v>
      </c>
      <c r="H67" s="20"/>
      <c r="I67" s="20"/>
      <c r="J67" s="30">
        <f t="shared" si="1"/>
        <v>11.63</v>
      </c>
      <c r="K67" s="22"/>
      <c r="L67" s="22"/>
      <c r="M67" s="22"/>
    </row>
    <row r="68" spans="1:13" ht="15.2" customHeight="1" thickBot="1">
      <c r="A68" s="22"/>
      <c r="B68" s="22"/>
      <c r="C68" s="22"/>
      <c r="D68" s="26"/>
      <c r="E68" s="5"/>
      <c r="F68" s="3"/>
      <c r="G68" s="20">
        <v>24.92</v>
      </c>
      <c r="H68" s="20"/>
      <c r="I68" s="20"/>
      <c r="J68" s="30">
        <f t="shared" si="1"/>
        <v>24.92</v>
      </c>
      <c r="K68" s="22"/>
      <c r="L68" s="22"/>
      <c r="M68" s="22"/>
    </row>
    <row r="69" spans="1:13" ht="15.2" customHeight="1" thickBot="1">
      <c r="A69" s="22"/>
      <c r="B69" s="22"/>
      <c r="C69" s="22"/>
      <c r="D69" s="26"/>
      <c r="E69" s="5"/>
      <c r="F69" s="3"/>
      <c r="G69" s="20">
        <v>19.079999999999998</v>
      </c>
      <c r="H69" s="20"/>
      <c r="I69" s="20"/>
      <c r="J69" s="30">
        <f t="shared" si="1"/>
        <v>19.079999999999998</v>
      </c>
      <c r="K69" s="22"/>
      <c r="L69" s="22"/>
      <c r="M69" s="22"/>
    </row>
    <row r="70" spans="1:13" ht="15.2" customHeight="1" thickBot="1">
      <c r="A70" s="22"/>
      <c r="B70" s="22"/>
      <c r="C70" s="22"/>
      <c r="D70" s="26"/>
      <c r="E70" s="5"/>
      <c r="F70" s="3"/>
      <c r="G70" s="20">
        <v>13.26</v>
      </c>
      <c r="H70" s="20"/>
      <c r="I70" s="20"/>
      <c r="J70" s="30">
        <f t="shared" si="1"/>
        <v>13.26</v>
      </c>
      <c r="K70" s="22"/>
      <c r="L70" s="22"/>
      <c r="M70" s="22"/>
    </row>
    <row r="71" spans="1:13" ht="15.2" customHeight="1" thickBot="1">
      <c r="A71" s="22"/>
      <c r="B71" s="22"/>
      <c r="C71" s="22"/>
      <c r="D71" s="26"/>
      <c r="E71" s="5"/>
      <c r="F71" s="3"/>
      <c r="G71" s="20">
        <v>7.07</v>
      </c>
      <c r="H71" s="20"/>
      <c r="I71" s="20"/>
      <c r="J71" s="30">
        <f t="shared" si="1"/>
        <v>7.07</v>
      </c>
      <c r="K71" s="33">
        <f>SUM(J66:J71)</f>
        <v>199.70999999999998</v>
      </c>
      <c r="L71" s="22"/>
      <c r="M71" s="22"/>
    </row>
    <row r="72" spans="1:13" ht="30.6" customHeight="1" thickBot="1">
      <c r="A72" s="10" t="s">
        <v>207</v>
      </c>
      <c r="B72" s="5" t="s">
        <v>208</v>
      </c>
      <c r="C72" s="5" t="s">
        <v>209</v>
      </c>
      <c r="D72" s="59" t="s">
        <v>210</v>
      </c>
      <c r="E72" s="59"/>
      <c r="F72" s="59"/>
      <c r="G72" s="59"/>
      <c r="H72" s="59"/>
      <c r="I72" s="59"/>
      <c r="J72" s="59"/>
      <c r="K72" s="20">
        <f>SUM(K74:K214)</f>
        <v>857.09999999999991</v>
      </c>
      <c r="L72" s="21">
        <f>ROUND(10.47*(1+M2/100),2)</f>
        <v>10.68</v>
      </c>
      <c r="M72" s="21">
        <f>ROUND(K72*L72,2)</f>
        <v>9153.83</v>
      </c>
    </row>
    <row r="73" spans="1:13" ht="15.2" customHeight="1" thickBot="1">
      <c r="A73" s="22"/>
      <c r="B73" s="22"/>
      <c r="C73" s="22"/>
      <c r="D73" s="22"/>
      <c r="E73" s="23" t="s">
        <v>211</v>
      </c>
      <c r="F73" s="25" t="s">
        <v>212</v>
      </c>
      <c r="G73" s="25" t="s">
        <v>213</v>
      </c>
      <c r="H73" s="25" t="s">
        <v>214</v>
      </c>
      <c r="I73" s="25" t="s">
        <v>215</v>
      </c>
      <c r="J73" s="25" t="s">
        <v>216</v>
      </c>
      <c r="K73" s="25" t="s">
        <v>217</v>
      </c>
      <c r="L73" s="22"/>
      <c r="M73" s="22"/>
    </row>
    <row r="74" spans="1:13" ht="15.2" customHeight="1" thickBot="1">
      <c r="A74" s="22"/>
      <c r="B74" s="22"/>
      <c r="C74" s="22"/>
      <c r="D74" s="26"/>
      <c r="E74" s="27"/>
      <c r="F74" s="28"/>
      <c r="G74" s="29">
        <v>3.02</v>
      </c>
      <c r="H74" s="29"/>
      <c r="I74" s="29"/>
      <c r="J74" s="31">
        <f t="shared" ref="J74:J105" si="2">ROUND(G74,3)</f>
        <v>3.02</v>
      </c>
      <c r="K74" s="32"/>
      <c r="L74" s="22"/>
      <c r="M74" s="22"/>
    </row>
    <row r="75" spans="1:13" ht="15.2" customHeight="1" thickBot="1">
      <c r="A75" s="22"/>
      <c r="B75" s="22"/>
      <c r="C75" s="22"/>
      <c r="D75" s="26"/>
      <c r="E75" s="5"/>
      <c r="F75" s="3"/>
      <c r="G75" s="20">
        <v>2.6</v>
      </c>
      <c r="H75" s="20"/>
      <c r="I75" s="20"/>
      <c r="J75" s="30">
        <f t="shared" si="2"/>
        <v>2.6</v>
      </c>
      <c r="K75" s="22"/>
      <c r="L75" s="22"/>
      <c r="M75" s="22"/>
    </row>
    <row r="76" spans="1:13" ht="15.2" customHeight="1" thickBot="1">
      <c r="A76" s="22"/>
      <c r="B76" s="22"/>
      <c r="C76" s="22"/>
      <c r="D76" s="26"/>
      <c r="E76" s="5"/>
      <c r="F76" s="3"/>
      <c r="G76" s="20">
        <v>2.95</v>
      </c>
      <c r="H76" s="20"/>
      <c r="I76" s="20"/>
      <c r="J76" s="30">
        <f t="shared" si="2"/>
        <v>2.95</v>
      </c>
      <c r="K76" s="22"/>
      <c r="L76" s="22"/>
      <c r="M76" s="22"/>
    </row>
    <row r="77" spans="1:13" ht="15.2" customHeight="1" thickBot="1">
      <c r="A77" s="22"/>
      <c r="B77" s="22"/>
      <c r="C77" s="22"/>
      <c r="D77" s="26"/>
      <c r="E77" s="5"/>
      <c r="F77" s="3"/>
      <c r="G77" s="20">
        <v>2.4</v>
      </c>
      <c r="H77" s="20"/>
      <c r="I77" s="20"/>
      <c r="J77" s="30">
        <f t="shared" si="2"/>
        <v>2.4</v>
      </c>
      <c r="K77" s="22"/>
      <c r="L77" s="22"/>
      <c r="M77" s="22"/>
    </row>
    <row r="78" spans="1:13" ht="15.2" customHeight="1" thickBot="1">
      <c r="A78" s="22"/>
      <c r="B78" s="22"/>
      <c r="C78" s="22"/>
      <c r="D78" s="26"/>
      <c r="E78" s="5"/>
      <c r="F78" s="3"/>
      <c r="G78" s="20">
        <v>2.89</v>
      </c>
      <c r="H78" s="20"/>
      <c r="I78" s="20"/>
      <c r="J78" s="30">
        <f t="shared" si="2"/>
        <v>2.89</v>
      </c>
      <c r="K78" s="22"/>
      <c r="L78" s="22"/>
      <c r="M78" s="22"/>
    </row>
    <row r="79" spans="1:13" ht="15.2" customHeight="1" thickBot="1">
      <c r="A79" s="22"/>
      <c r="B79" s="22"/>
      <c r="C79" s="22"/>
      <c r="D79" s="26"/>
      <c r="E79" s="5"/>
      <c r="F79" s="3"/>
      <c r="G79" s="20">
        <v>2.2000000000000002</v>
      </c>
      <c r="H79" s="20"/>
      <c r="I79" s="20"/>
      <c r="J79" s="30">
        <f t="shared" si="2"/>
        <v>2.2000000000000002</v>
      </c>
      <c r="K79" s="22"/>
      <c r="L79" s="22"/>
      <c r="M79" s="22"/>
    </row>
    <row r="80" spans="1:13" ht="15.2" customHeight="1" thickBot="1">
      <c r="A80" s="22"/>
      <c r="B80" s="22"/>
      <c r="C80" s="22"/>
      <c r="D80" s="26"/>
      <c r="E80" s="5"/>
      <c r="F80" s="3"/>
      <c r="G80" s="20">
        <v>2.83</v>
      </c>
      <c r="H80" s="20"/>
      <c r="I80" s="20"/>
      <c r="J80" s="30">
        <f t="shared" si="2"/>
        <v>2.83</v>
      </c>
      <c r="K80" s="22"/>
      <c r="L80" s="22"/>
      <c r="M80" s="22"/>
    </row>
    <row r="81" spans="1:13" ht="15.2" customHeight="1" thickBot="1">
      <c r="A81" s="22"/>
      <c r="B81" s="22"/>
      <c r="C81" s="22"/>
      <c r="D81" s="26"/>
      <c r="E81" s="5"/>
      <c r="F81" s="3"/>
      <c r="G81" s="20">
        <v>2</v>
      </c>
      <c r="H81" s="20"/>
      <c r="I81" s="20"/>
      <c r="J81" s="30">
        <f t="shared" si="2"/>
        <v>2</v>
      </c>
      <c r="K81" s="22"/>
      <c r="L81" s="22"/>
      <c r="M81" s="22"/>
    </row>
    <row r="82" spans="1:13" ht="15.2" customHeight="1" thickBot="1">
      <c r="A82" s="22"/>
      <c r="B82" s="22"/>
      <c r="C82" s="22"/>
      <c r="D82" s="26"/>
      <c r="E82" s="5"/>
      <c r="F82" s="3"/>
      <c r="G82" s="20">
        <v>2.17</v>
      </c>
      <c r="H82" s="20"/>
      <c r="I82" s="20"/>
      <c r="J82" s="30">
        <f t="shared" si="2"/>
        <v>2.17</v>
      </c>
      <c r="K82" s="22"/>
      <c r="L82" s="22"/>
      <c r="M82" s="22"/>
    </row>
    <row r="83" spans="1:13" ht="15.2" customHeight="1" thickBot="1">
      <c r="A83" s="22"/>
      <c r="B83" s="22"/>
      <c r="C83" s="22"/>
      <c r="D83" s="26"/>
      <c r="E83" s="5"/>
      <c r="F83" s="3"/>
      <c r="G83" s="20">
        <v>1.85</v>
      </c>
      <c r="H83" s="20"/>
      <c r="I83" s="20"/>
      <c r="J83" s="30">
        <f t="shared" si="2"/>
        <v>1.85</v>
      </c>
      <c r="K83" s="22"/>
      <c r="L83" s="22"/>
      <c r="M83" s="22"/>
    </row>
    <row r="84" spans="1:13" ht="15.2" customHeight="1" thickBot="1">
      <c r="A84" s="22"/>
      <c r="B84" s="22"/>
      <c r="C84" s="22"/>
      <c r="D84" s="26"/>
      <c r="E84" s="5"/>
      <c r="F84" s="3"/>
      <c r="G84" s="20">
        <v>2.75</v>
      </c>
      <c r="H84" s="20"/>
      <c r="I84" s="20"/>
      <c r="J84" s="30">
        <f t="shared" si="2"/>
        <v>2.75</v>
      </c>
      <c r="K84" s="22"/>
      <c r="L84" s="22"/>
      <c r="M84" s="22"/>
    </row>
    <row r="85" spans="1:13" ht="15.2" customHeight="1" thickBot="1">
      <c r="A85" s="22"/>
      <c r="B85" s="22"/>
      <c r="C85" s="22"/>
      <c r="D85" s="26"/>
      <c r="E85" s="5"/>
      <c r="F85" s="3"/>
      <c r="G85" s="20">
        <v>5.95</v>
      </c>
      <c r="H85" s="20"/>
      <c r="I85" s="20"/>
      <c r="J85" s="30">
        <f t="shared" si="2"/>
        <v>5.95</v>
      </c>
      <c r="K85" s="22"/>
      <c r="L85" s="22"/>
      <c r="M85" s="22"/>
    </row>
    <row r="86" spans="1:13" ht="15.2" customHeight="1" thickBot="1">
      <c r="A86" s="22"/>
      <c r="B86" s="22"/>
      <c r="C86" s="22"/>
      <c r="D86" s="26"/>
      <c r="E86" s="5"/>
      <c r="F86" s="3"/>
      <c r="G86" s="20">
        <v>1.25</v>
      </c>
      <c r="H86" s="20"/>
      <c r="I86" s="20"/>
      <c r="J86" s="30">
        <f t="shared" si="2"/>
        <v>1.25</v>
      </c>
      <c r="K86" s="22"/>
      <c r="L86" s="22"/>
      <c r="M86" s="22"/>
    </row>
    <row r="87" spans="1:13" ht="15.2" customHeight="1" thickBot="1">
      <c r="A87" s="22"/>
      <c r="B87" s="22"/>
      <c r="C87" s="22"/>
      <c r="D87" s="26"/>
      <c r="E87" s="5"/>
      <c r="F87" s="3"/>
      <c r="G87" s="20">
        <v>2.95</v>
      </c>
      <c r="H87" s="20"/>
      <c r="I87" s="20"/>
      <c r="J87" s="30">
        <f t="shared" si="2"/>
        <v>2.95</v>
      </c>
      <c r="K87" s="22"/>
      <c r="L87" s="22"/>
      <c r="M87" s="22"/>
    </row>
    <row r="88" spans="1:13" ht="15.2" customHeight="1" thickBot="1">
      <c r="A88" s="22"/>
      <c r="B88" s="22"/>
      <c r="C88" s="22"/>
      <c r="D88" s="26"/>
      <c r="E88" s="5"/>
      <c r="F88" s="3"/>
      <c r="G88" s="20">
        <v>6.25</v>
      </c>
      <c r="H88" s="20"/>
      <c r="I88" s="20"/>
      <c r="J88" s="30">
        <f t="shared" si="2"/>
        <v>6.25</v>
      </c>
      <c r="K88" s="22"/>
      <c r="L88" s="22"/>
      <c r="M88" s="22"/>
    </row>
    <row r="89" spans="1:13" ht="15.2" customHeight="1" thickBot="1">
      <c r="A89" s="22"/>
      <c r="B89" s="22"/>
      <c r="C89" s="22"/>
      <c r="D89" s="26"/>
      <c r="E89" s="5"/>
      <c r="F89" s="3"/>
      <c r="G89" s="20">
        <v>3</v>
      </c>
      <c r="H89" s="20"/>
      <c r="I89" s="20"/>
      <c r="J89" s="30">
        <f t="shared" si="2"/>
        <v>3</v>
      </c>
      <c r="K89" s="22"/>
      <c r="L89" s="22"/>
      <c r="M89" s="22"/>
    </row>
    <row r="90" spans="1:13" ht="15.2" customHeight="1" thickBot="1">
      <c r="A90" s="22"/>
      <c r="B90" s="22"/>
      <c r="C90" s="22"/>
      <c r="D90" s="26"/>
      <c r="E90" s="5"/>
      <c r="F90" s="3"/>
      <c r="G90" s="20">
        <v>4.9000000000000004</v>
      </c>
      <c r="H90" s="20"/>
      <c r="I90" s="20"/>
      <c r="J90" s="30">
        <f t="shared" si="2"/>
        <v>4.9000000000000004</v>
      </c>
      <c r="K90" s="22"/>
      <c r="L90" s="22"/>
      <c r="M90" s="22"/>
    </row>
    <row r="91" spans="1:13" ht="15.2" customHeight="1" thickBot="1">
      <c r="A91" s="22"/>
      <c r="B91" s="22"/>
      <c r="C91" s="22"/>
      <c r="D91" s="26"/>
      <c r="E91" s="5"/>
      <c r="F91" s="3"/>
      <c r="G91" s="20">
        <v>3.25</v>
      </c>
      <c r="H91" s="20"/>
      <c r="I91" s="20"/>
      <c r="J91" s="30">
        <f t="shared" si="2"/>
        <v>3.25</v>
      </c>
      <c r="K91" s="22"/>
      <c r="L91" s="22"/>
      <c r="M91" s="22"/>
    </row>
    <row r="92" spans="1:13" ht="15.2" customHeight="1" thickBot="1">
      <c r="A92" s="22"/>
      <c r="B92" s="22"/>
      <c r="C92" s="22"/>
      <c r="D92" s="26"/>
      <c r="E92" s="5"/>
      <c r="F92" s="3"/>
      <c r="G92" s="20">
        <v>2.83</v>
      </c>
      <c r="H92" s="20"/>
      <c r="I92" s="20"/>
      <c r="J92" s="30">
        <f t="shared" si="2"/>
        <v>2.83</v>
      </c>
      <c r="K92" s="22"/>
      <c r="L92" s="22"/>
      <c r="M92" s="22"/>
    </row>
    <row r="93" spans="1:13" ht="15.2" customHeight="1" thickBot="1">
      <c r="A93" s="22"/>
      <c r="B93" s="22"/>
      <c r="C93" s="22"/>
      <c r="D93" s="26"/>
      <c r="E93" s="5"/>
      <c r="F93" s="3"/>
      <c r="G93" s="20">
        <v>2.5499999999999998</v>
      </c>
      <c r="H93" s="20"/>
      <c r="I93" s="20"/>
      <c r="J93" s="30">
        <f t="shared" si="2"/>
        <v>2.5499999999999998</v>
      </c>
      <c r="K93" s="22"/>
      <c r="L93" s="22"/>
      <c r="M93" s="22"/>
    </row>
    <row r="94" spans="1:13" ht="15.2" customHeight="1" thickBot="1">
      <c r="A94" s="22"/>
      <c r="B94" s="22"/>
      <c r="C94" s="22"/>
      <c r="D94" s="26"/>
      <c r="E94" s="5"/>
      <c r="F94" s="3"/>
      <c r="G94" s="20">
        <v>2.21</v>
      </c>
      <c r="H94" s="20"/>
      <c r="I94" s="20"/>
      <c r="J94" s="30">
        <f t="shared" si="2"/>
        <v>2.21</v>
      </c>
      <c r="K94" s="22"/>
      <c r="L94" s="22"/>
      <c r="M94" s="22"/>
    </row>
    <row r="95" spans="1:13" ht="15.2" customHeight="1" thickBot="1">
      <c r="A95" s="22"/>
      <c r="B95" s="22"/>
      <c r="C95" s="22"/>
      <c r="D95" s="26"/>
      <c r="E95" s="5"/>
      <c r="F95" s="3"/>
      <c r="G95" s="20">
        <v>2.11</v>
      </c>
      <c r="H95" s="20"/>
      <c r="I95" s="20"/>
      <c r="J95" s="30">
        <f t="shared" si="2"/>
        <v>2.11</v>
      </c>
      <c r="K95" s="22"/>
      <c r="L95" s="22"/>
      <c r="M95" s="22"/>
    </row>
    <row r="96" spans="1:13" ht="15.2" customHeight="1" thickBot="1">
      <c r="A96" s="22"/>
      <c r="B96" s="22"/>
      <c r="C96" s="22"/>
      <c r="D96" s="26"/>
      <c r="E96" s="5"/>
      <c r="F96" s="3"/>
      <c r="G96" s="20">
        <v>2.2400000000000002</v>
      </c>
      <c r="H96" s="20"/>
      <c r="I96" s="20"/>
      <c r="J96" s="30">
        <f t="shared" si="2"/>
        <v>2.2400000000000002</v>
      </c>
      <c r="K96" s="22"/>
      <c r="L96" s="22"/>
      <c r="M96" s="22"/>
    </row>
    <row r="97" spans="1:13" ht="15.2" customHeight="1" thickBot="1">
      <c r="A97" s="22"/>
      <c r="B97" s="22"/>
      <c r="C97" s="22"/>
      <c r="D97" s="26"/>
      <c r="E97" s="5"/>
      <c r="F97" s="3"/>
      <c r="G97" s="20">
        <v>2.5</v>
      </c>
      <c r="H97" s="20"/>
      <c r="I97" s="20"/>
      <c r="J97" s="30">
        <f t="shared" si="2"/>
        <v>2.5</v>
      </c>
      <c r="K97" s="22"/>
      <c r="L97" s="22"/>
      <c r="M97" s="22"/>
    </row>
    <row r="98" spans="1:13" ht="15.2" customHeight="1" thickBot="1">
      <c r="A98" s="22"/>
      <c r="B98" s="22"/>
      <c r="C98" s="22"/>
      <c r="D98" s="26"/>
      <c r="E98" s="5"/>
      <c r="F98" s="3"/>
      <c r="G98" s="20">
        <v>2.34</v>
      </c>
      <c r="H98" s="20"/>
      <c r="I98" s="20"/>
      <c r="J98" s="30">
        <f t="shared" si="2"/>
        <v>2.34</v>
      </c>
      <c r="K98" s="22"/>
      <c r="L98" s="22"/>
      <c r="M98" s="22"/>
    </row>
    <row r="99" spans="1:13" ht="15.2" customHeight="1" thickBot="1">
      <c r="A99" s="22"/>
      <c r="B99" s="22"/>
      <c r="C99" s="22"/>
      <c r="D99" s="26"/>
      <c r="E99" s="5"/>
      <c r="F99" s="3"/>
      <c r="G99" s="20">
        <v>9.17</v>
      </c>
      <c r="H99" s="20"/>
      <c r="I99" s="20"/>
      <c r="J99" s="30">
        <f t="shared" si="2"/>
        <v>9.17</v>
      </c>
      <c r="K99" s="22"/>
      <c r="L99" s="22"/>
      <c r="M99" s="22"/>
    </row>
    <row r="100" spans="1:13" ht="15.2" customHeight="1" thickBot="1">
      <c r="A100" s="22"/>
      <c r="B100" s="22"/>
      <c r="C100" s="22"/>
      <c r="D100" s="26"/>
      <c r="E100" s="5"/>
      <c r="F100" s="3"/>
      <c r="G100" s="20">
        <v>3</v>
      </c>
      <c r="H100" s="20"/>
      <c r="I100" s="20"/>
      <c r="J100" s="30">
        <f t="shared" si="2"/>
        <v>3</v>
      </c>
      <c r="K100" s="22"/>
      <c r="L100" s="22"/>
      <c r="M100" s="22"/>
    </row>
    <row r="101" spans="1:13" ht="15.2" customHeight="1" thickBot="1">
      <c r="A101" s="22"/>
      <c r="B101" s="22"/>
      <c r="C101" s="22"/>
      <c r="D101" s="26"/>
      <c r="E101" s="5"/>
      <c r="F101" s="3"/>
      <c r="G101" s="20">
        <v>3</v>
      </c>
      <c r="H101" s="20"/>
      <c r="I101" s="20"/>
      <c r="J101" s="30">
        <f t="shared" si="2"/>
        <v>3</v>
      </c>
      <c r="K101" s="22"/>
      <c r="L101" s="22"/>
      <c r="M101" s="22"/>
    </row>
    <row r="102" spans="1:13" ht="15.2" customHeight="1" thickBot="1">
      <c r="A102" s="22"/>
      <c r="B102" s="22"/>
      <c r="C102" s="22"/>
      <c r="D102" s="26"/>
      <c r="E102" s="5"/>
      <c r="F102" s="3"/>
      <c r="G102" s="20">
        <v>9</v>
      </c>
      <c r="H102" s="20"/>
      <c r="I102" s="20"/>
      <c r="J102" s="30">
        <f t="shared" si="2"/>
        <v>9</v>
      </c>
      <c r="K102" s="22"/>
      <c r="L102" s="22"/>
      <c r="M102" s="22"/>
    </row>
    <row r="103" spans="1:13" ht="15.2" customHeight="1" thickBot="1">
      <c r="A103" s="22"/>
      <c r="B103" s="22"/>
      <c r="C103" s="22"/>
      <c r="D103" s="26"/>
      <c r="E103" s="5"/>
      <c r="F103" s="3"/>
      <c r="G103" s="20">
        <v>2.6</v>
      </c>
      <c r="H103" s="20"/>
      <c r="I103" s="20"/>
      <c r="J103" s="30">
        <f t="shared" si="2"/>
        <v>2.6</v>
      </c>
      <c r="K103" s="22"/>
      <c r="L103" s="22"/>
      <c r="M103" s="22"/>
    </row>
    <row r="104" spans="1:13" ht="15.2" customHeight="1" thickBot="1">
      <c r="A104" s="22"/>
      <c r="B104" s="22"/>
      <c r="C104" s="22"/>
      <c r="D104" s="26"/>
      <c r="E104" s="5"/>
      <c r="F104" s="3"/>
      <c r="G104" s="20">
        <v>1.63</v>
      </c>
      <c r="H104" s="20"/>
      <c r="I104" s="20"/>
      <c r="J104" s="30">
        <f t="shared" si="2"/>
        <v>1.63</v>
      </c>
      <c r="K104" s="22"/>
      <c r="L104" s="22"/>
      <c r="M104" s="22"/>
    </row>
    <row r="105" spans="1:13" ht="15.2" customHeight="1" thickBot="1">
      <c r="A105" s="22"/>
      <c r="B105" s="22"/>
      <c r="C105" s="22"/>
      <c r="D105" s="26"/>
      <c r="E105" s="5"/>
      <c r="F105" s="3"/>
      <c r="G105" s="20">
        <v>8.1999999999999993</v>
      </c>
      <c r="H105" s="20"/>
      <c r="I105" s="20"/>
      <c r="J105" s="30">
        <f t="shared" si="2"/>
        <v>8.1999999999999993</v>
      </c>
      <c r="K105" s="22"/>
      <c r="L105" s="22"/>
      <c r="M105" s="22"/>
    </row>
    <row r="106" spans="1:13" ht="15.2" customHeight="1" thickBot="1">
      <c r="A106" s="22"/>
      <c r="B106" s="22"/>
      <c r="C106" s="22"/>
      <c r="D106" s="26"/>
      <c r="E106" s="5"/>
      <c r="F106" s="3"/>
      <c r="G106" s="20">
        <v>3.41</v>
      </c>
      <c r="H106" s="20"/>
      <c r="I106" s="20"/>
      <c r="J106" s="30">
        <f t="shared" ref="J106:J137" si="3">ROUND(G106,3)</f>
        <v>3.41</v>
      </c>
      <c r="K106" s="22"/>
      <c r="L106" s="22"/>
      <c r="M106" s="22"/>
    </row>
    <row r="107" spans="1:13" ht="15.2" customHeight="1" thickBot="1">
      <c r="A107" s="22"/>
      <c r="B107" s="22"/>
      <c r="C107" s="22"/>
      <c r="D107" s="26"/>
      <c r="E107" s="5"/>
      <c r="F107" s="3"/>
      <c r="G107" s="20">
        <v>6.05</v>
      </c>
      <c r="H107" s="20"/>
      <c r="I107" s="20"/>
      <c r="J107" s="30">
        <f t="shared" si="3"/>
        <v>6.05</v>
      </c>
      <c r="K107" s="22"/>
      <c r="L107" s="22"/>
      <c r="M107" s="22"/>
    </row>
    <row r="108" spans="1:13" ht="15.2" customHeight="1" thickBot="1">
      <c r="A108" s="22"/>
      <c r="B108" s="22"/>
      <c r="C108" s="22"/>
      <c r="D108" s="26"/>
      <c r="E108" s="5"/>
      <c r="F108" s="3"/>
      <c r="G108" s="20">
        <v>2</v>
      </c>
      <c r="H108" s="20"/>
      <c r="I108" s="20"/>
      <c r="J108" s="30">
        <f t="shared" si="3"/>
        <v>2</v>
      </c>
      <c r="K108" s="22"/>
      <c r="L108" s="22"/>
      <c r="M108" s="22"/>
    </row>
    <row r="109" spans="1:13" ht="15.2" customHeight="1" thickBot="1">
      <c r="A109" s="22"/>
      <c r="B109" s="22"/>
      <c r="C109" s="22"/>
      <c r="D109" s="26"/>
      <c r="E109" s="5"/>
      <c r="F109" s="3"/>
      <c r="G109" s="20">
        <v>4.07</v>
      </c>
      <c r="H109" s="20"/>
      <c r="I109" s="20"/>
      <c r="J109" s="30">
        <f t="shared" si="3"/>
        <v>4.07</v>
      </c>
      <c r="K109" s="22"/>
      <c r="L109" s="22"/>
      <c r="M109" s="22"/>
    </row>
    <row r="110" spans="1:13" ht="15.2" customHeight="1" thickBot="1">
      <c r="A110" s="22"/>
      <c r="B110" s="22"/>
      <c r="C110" s="22"/>
      <c r="D110" s="26"/>
      <c r="E110" s="5"/>
      <c r="F110" s="3"/>
      <c r="G110" s="20">
        <v>1.1000000000000001</v>
      </c>
      <c r="H110" s="20"/>
      <c r="I110" s="20"/>
      <c r="J110" s="30">
        <f t="shared" si="3"/>
        <v>1.1000000000000001</v>
      </c>
      <c r="K110" s="22"/>
      <c r="L110" s="22"/>
      <c r="M110" s="22"/>
    </row>
    <row r="111" spans="1:13" ht="15.2" customHeight="1" thickBot="1">
      <c r="A111" s="22"/>
      <c r="B111" s="22"/>
      <c r="C111" s="22"/>
      <c r="D111" s="26"/>
      <c r="E111" s="5"/>
      <c r="F111" s="3"/>
      <c r="G111" s="20">
        <v>2</v>
      </c>
      <c r="H111" s="20"/>
      <c r="I111" s="20"/>
      <c r="J111" s="30">
        <f t="shared" si="3"/>
        <v>2</v>
      </c>
      <c r="K111" s="22"/>
      <c r="L111" s="22"/>
      <c r="M111" s="22"/>
    </row>
    <row r="112" spans="1:13" ht="15.2" customHeight="1" thickBot="1">
      <c r="A112" s="22"/>
      <c r="B112" s="22"/>
      <c r="C112" s="22"/>
      <c r="D112" s="26"/>
      <c r="E112" s="5"/>
      <c r="F112" s="3"/>
      <c r="G112" s="20">
        <v>4.0999999999999996</v>
      </c>
      <c r="H112" s="20"/>
      <c r="I112" s="20"/>
      <c r="J112" s="30">
        <f t="shared" si="3"/>
        <v>4.0999999999999996</v>
      </c>
      <c r="K112" s="22"/>
      <c r="L112" s="22"/>
      <c r="M112" s="22"/>
    </row>
    <row r="113" spans="1:13" ht="15.2" customHeight="1" thickBot="1">
      <c r="A113" s="22"/>
      <c r="B113" s="22"/>
      <c r="C113" s="22"/>
      <c r="D113" s="26"/>
      <c r="E113" s="5"/>
      <c r="F113" s="3"/>
      <c r="G113" s="20">
        <v>10.8</v>
      </c>
      <c r="H113" s="20"/>
      <c r="I113" s="20"/>
      <c r="J113" s="30">
        <f t="shared" si="3"/>
        <v>10.8</v>
      </c>
      <c r="K113" s="22"/>
      <c r="L113" s="22"/>
      <c r="M113" s="22"/>
    </row>
    <row r="114" spans="1:13" ht="15.2" customHeight="1" thickBot="1">
      <c r="A114" s="22"/>
      <c r="B114" s="22"/>
      <c r="C114" s="22"/>
      <c r="D114" s="26"/>
      <c r="E114" s="5"/>
      <c r="F114" s="3"/>
      <c r="G114" s="20">
        <v>9.32</v>
      </c>
      <c r="H114" s="20"/>
      <c r="I114" s="20"/>
      <c r="J114" s="30">
        <f t="shared" si="3"/>
        <v>9.32</v>
      </c>
      <c r="K114" s="22"/>
      <c r="L114" s="22"/>
      <c r="M114" s="22"/>
    </row>
    <row r="115" spans="1:13" ht="15.2" customHeight="1" thickBot="1">
      <c r="A115" s="22"/>
      <c r="B115" s="22"/>
      <c r="C115" s="22"/>
      <c r="D115" s="26"/>
      <c r="E115" s="5"/>
      <c r="F115" s="3"/>
      <c r="G115" s="20">
        <v>9.5</v>
      </c>
      <c r="H115" s="20"/>
      <c r="I115" s="20"/>
      <c r="J115" s="30">
        <f t="shared" si="3"/>
        <v>9.5</v>
      </c>
      <c r="K115" s="22"/>
      <c r="L115" s="22"/>
      <c r="M115" s="22"/>
    </row>
    <row r="116" spans="1:13" ht="15.2" customHeight="1" thickBot="1">
      <c r="A116" s="22"/>
      <c r="B116" s="22"/>
      <c r="C116" s="22"/>
      <c r="D116" s="26"/>
      <c r="E116" s="5"/>
      <c r="F116" s="3"/>
      <c r="G116" s="20">
        <v>9.6199999999999992</v>
      </c>
      <c r="H116" s="20"/>
      <c r="I116" s="20"/>
      <c r="J116" s="30">
        <f t="shared" si="3"/>
        <v>9.6199999999999992</v>
      </c>
      <c r="K116" s="22"/>
      <c r="L116" s="22"/>
      <c r="M116" s="22"/>
    </row>
    <row r="117" spans="1:13" ht="15.2" customHeight="1" thickBot="1">
      <c r="A117" s="22"/>
      <c r="B117" s="22"/>
      <c r="C117" s="22"/>
      <c r="D117" s="26"/>
      <c r="E117" s="5"/>
      <c r="F117" s="3"/>
      <c r="G117" s="20">
        <v>7.67</v>
      </c>
      <c r="H117" s="20"/>
      <c r="I117" s="20"/>
      <c r="J117" s="30">
        <f t="shared" si="3"/>
        <v>7.67</v>
      </c>
      <c r="K117" s="22"/>
      <c r="L117" s="22"/>
      <c r="M117" s="22"/>
    </row>
    <row r="118" spans="1:13" ht="15.2" customHeight="1" thickBot="1">
      <c r="A118" s="22"/>
      <c r="B118" s="22"/>
      <c r="C118" s="22"/>
      <c r="D118" s="26"/>
      <c r="E118" s="5"/>
      <c r="F118" s="3"/>
      <c r="G118" s="20">
        <v>2.56</v>
      </c>
      <c r="H118" s="20"/>
      <c r="I118" s="20"/>
      <c r="J118" s="30">
        <f t="shared" si="3"/>
        <v>2.56</v>
      </c>
      <c r="K118" s="22"/>
      <c r="L118" s="22"/>
      <c r="M118" s="22"/>
    </row>
    <row r="119" spans="1:13" ht="15.2" customHeight="1" thickBot="1">
      <c r="A119" s="22"/>
      <c r="B119" s="22"/>
      <c r="C119" s="22"/>
      <c r="D119" s="26"/>
      <c r="E119" s="5"/>
      <c r="F119" s="3"/>
      <c r="G119" s="20">
        <v>2.27</v>
      </c>
      <c r="H119" s="20"/>
      <c r="I119" s="20"/>
      <c r="J119" s="30">
        <f t="shared" si="3"/>
        <v>2.27</v>
      </c>
      <c r="K119" s="22"/>
      <c r="L119" s="22"/>
      <c r="M119" s="22"/>
    </row>
    <row r="120" spans="1:13" ht="15.2" customHeight="1" thickBot="1">
      <c r="A120" s="22"/>
      <c r="B120" s="22"/>
      <c r="C120" s="22"/>
      <c r="D120" s="26"/>
      <c r="E120" s="5"/>
      <c r="F120" s="3"/>
      <c r="G120" s="20">
        <v>2.2400000000000002</v>
      </c>
      <c r="H120" s="20"/>
      <c r="I120" s="20"/>
      <c r="J120" s="30">
        <f t="shared" si="3"/>
        <v>2.2400000000000002</v>
      </c>
      <c r="K120" s="22"/>
      <c r="L120" s="22"/>
      <c r="M120" s="22"/>
    </row>
    <row r="121" spans="1:13" ht="15.2" customHeight="1" thickBot="1">
      <c r="A121" s="22"/>
      <c r="B121" s="22"/>
      <c r="C121" s="22"/>
      <c r="D121" s="26"/>
      <c r="E121" s="5"/>
      <c r="F121" s="3"/>
      <c r="G121" s="20">
        <v>2.4500000000000002</v>
      </c>
      <c r="H121" s="20"/>
      <c r="I121" s="20"/>
      <c r="J121" s="30">
        <f t="shared" si="3"/>
        <v>2.4500000000000002</v>
      </c>
      <c r="K121" s="22"/>
      <c r="L121" s="22"/>
      <c r="M121" s="22"/>
    </row>
    <row r="122" spans="1:13" ht="15.2" customHeight="1" thickBot="1">
      <c r="A122" s="22"/>
      <c r="B122" s="22"/>
      <c r="C122" s="22"/>
      <c r="D122" s="26"/>
      <c r="E122" s="5"/>
      <c r="F122" s="3"/>
      <c r="G122" s="20">
        <v>2.66</v>
      </c>
      <c r="H122" s="20"/>
      <c r="I122" s="20"/>
      <c r="J122" s="30">
        <f t="shared" si="3"/>
        <v>2.66</v>
      </c>
      <c r="K122" s="22"/>
      <c r="L122" s="22"/>
      <c r="M122" s="22"/>
    </row>
    <row r="123" spans="1:13" ht="15.2" customHeight="1" thickBot="1">
      <c r="A123" s="22"/>
      <c r="B123" s="22"/>
      <c r="C123" s="22"/>
      <c r="D123" s="26"/>
      <c r="E123" s="5"/>
      <c r="F123" s="3"/>
      <c r="G123" s="20">
        <v>2.83</v>
      </c>
      <c r="H123" s="20"/>
      <c r="I123" s="20"/>
      <c r="J123" s="30">
        <f t="shared" si="3"/>
        <v>2.83</v>
      </c>
      <c r="K123" s="22"/>
      <c r="L123" s="22"/>
      <c r="M123" s="22"/>
    </row>
    <row r="124" spans="1:13" ht="15.2" customHeight="1" thickBot="1">
      <c r="A124" s="22"/>
      <c r="B124" s="22"/>
      <c r="C124" s="22"/>
      <c r="D124" s="26"/>
      <c r="E124" s="5"/>
      <c r="F124" s="3"/>
      <c r="G124" s="20">
        <v>4.9000000000000004</v>
      </c>
      <c r="H124" s="20"/>
      <c r="I124" s="20"/>
      <c r="J124" s="30">
        <f t="shared" si="3"/>
        <v>4.9000000000000004</v>
      </c>
      <c r="K124" s="22"/>
      <c r="L124" s="22"/>
      <c r="M124" s="22"/>
    </row>
    <row r="125" spans="1:13" ht="15.2" customHeight="1" thickBot="1">
      <c r="A125" s="22"/>
      <c r="B125" s="22"/>
      <c r="C125" s="22"/>
      <c r="D125" s="26"/>
      <c r="E125" s="5"/>
      <c r="F125" s="3"/>
      <c r="G125" s="20">
        <v>2.94</v>
      </c>
      <c r="H125" s="20"/>
      <c r="I125" s="20"/>
      <c r="J125" s="30">
        <f t="shared" si="3"/>
        <v>2.94</v>
      </c>
      <c r="K125" s="22"/>
      <c r="L125" s="22"/>
      <c r="M125" s="22"/>
    </row>
    <row r="126" spans="1:13" ht="15.2" customHeight="1" thickBot="1">
      <c r="A126" s="22"/>
      <c r="B126" s="22"/>
      <c r="C126" s="22"/>
      <c r="D126" s="26"/>
      <c r="E126" s="5"/>
      <c r="F126" s="3"/>
      <c r="G126" s="20">
        <v>3.7</v>
      </c>
      <c r="H126" s="20"/>
      <c r="I126" s="20"/>
      <c r="J126" s="30">
        <f t="shared" si="3"/>
        <v>3.7</v>
      </c>
      <c r="K126" s="22"/>
      <c r="L126" s="22"/>
      <c r="M126" s="22"/>
    </row>
    <row r="127" spans="1:13" ht="15.2" customHeight="1" thickBot="1">
      <c r="A127" s="22"/>
      <c r="B127" s="22"/>
      <c r="C127" s="22"/>
      <c r="D127" s="26"/>
      <c r="E127" s="5"/>
      <c r="F127" s="3"/>
      <c r="G127" s="20">
        <v>2</v>
      </c>
      <c r="H127" s="20"/>
      <c r="I127" s="20"/>
      <c r="J127" s="30">
        <f t="shared" si="3"/>
        <v>2</v>
      </c>
      <c r="K127" s="22"/>
      <c r="L127" s="22"/>
      <c r="M127" s="22"/>
    </row>
    <row r="128" spans="1:13" ht="15.2" customHeight="1" thickBot="1">
      <c r="A128" s="22"/>
      <c r="B128" s="22"/>
      <c r="C128" s="22"/>
      <c r="D128" s="26"/>
      <c r="E128" s="5"/>
      <c r="F128" s="3"/>
      <c r="G128" s="20">
        <v>1.25</v>
      </c>
      <c r="H128" s="20"/>
      <c r="I128" s="20"/>
      <c r="J128" s="30">
        <f t="shared" si="3"/>
        <v>1.25</v>
      </c>
      <c r="K128" s="22"/>
      <c r="L128" s="22"/>
      <c r="M128" s="22"/>
    </row>
    <row r="129" spans="1:13" ht="15.2" customHeight="1" thickBot="1">
      <c r="A129" s="22"/>
      <c r="B129" s="22"/>
      <c r="C129" s="22"/>
      <c r="D129" s="26"/>
      <c r="E129" s="5"/>
      <c r="F129" s="3"/>
      <c r="G129" s="20">
        <v>12.24</v>
      </c>
      <c r="H129" s="20"/>
      <c r="I129" s="20"/>
      <c r="J129" s="30">
        <f t="shared" si="3"/>
        <v>12.24</v>
      </c>
      <c r="K129" s="22"/>
      <c r="L129" s="22"/>
      <c r="M129" s="22"/>
    </row>
    <row r="130" spans="1:13" ht="15.2" customHeight="1" thickBot="1">
      <c r="A130" s="22"/>
      <c r="B130" s="22"/>
      <c r="C130" s="22"/>
      <c r="D130" s="26"/>
      <c r="E130" s="5"/>
      <c r="F130" s="3"/>
      <c r="G130" s="20">
        <v>2.2000000000000002</v>
      </c>
      <c r="H130" s="20"/>
      <c r="I130" s="20"/>
      <c r="J130" s="30">
        <f t="shared" si="3"/>
        <v>2.2000000000000002</v>
      </c>
      <c r="K130" s="22"/>
      <c r="L130" s="22"/>
      <c r="M130" s="22"/>
    </row>
    <row r="131" spans="1:13" ht="15.2" customHeight="1" thickBot="1">
      <c r="A131" s="22"/>
      <c r="B131" s="22"/>
      <c r="C131" s="22"/>
      <c r="D131" s="26"/>
      <c r="E131" s="5"/>
      <c r="F131" s="3"/>
      <c r="G131" s="20">
        <v>2.8</v>
      </c>
      <c r="H131" s="20"/>
      <c r="I131" s="20"/>
      <c r="J131" s="30">
        <f t="shared" si="3"/>
        <v>2.8</v>
      </c>
      <c r="K131" s="22"/>
      <c r="L131" s="22"/>
      <c r="M131" s="22"/>
    </row>
    <row r="132" spans="1:13" ht="15.2" customHeight="1" thickBot="1">
      <c r="A132" s="22"/>
      <c r="B132" s="22"/>
      <c r="C132" s="22"/>
      <c r="D132" s="26"/>
      <c r="E132" s="5"/>
      <c r="F132" s="3"/>
      <c r="G132" s="20">
        <v>2.27</v>
      </c>
      <c r="H132" s="20"/>
      <c r="I132" s="20"/>
      <c r="J132" s="30">
        <f t="shared" si="3"/>
        <v>2.27</v>
      </c>
      <c r="K132" s="22"/>
      <c r="L132" s="22"/>
      <c r="M132" s="22"/>
    </row>
    <row r="133" spans="1:13" ht="15.2" customHeight="1" thickBot="1">
      <c r="A133" s="22"/>
      <c r="B133" s="22"/>
      <c r="C133" s="22"/>
      <c r="D133" s="26"/>
      <c r="E133" s="5"/>
      <c r="F133" s="3"/>
      <c r="G133" s="20">
        <v>4.9000000000000004</v>
      </c>
      <c r="H133" s="20"/>
      <c r="I133" s="20"/>
      <c r="J133" s="30">
        <f t="shared" si="3"/>
        <v>4.9000000000000004</v>
      </c>
      <c r="K133" s="22"/>
      <c r="L133" s="22"/>
      <c r="M133" s="22"/>
    </row>
    <row r="134" spans="1:13" ht="15.2" customHeight="1" thickBot="1">
      <c r="A134" s="22"/>
      <c r="B134" s="22"/>
      <c r="C134" s="22"/>
      <c r="D134" s="26"/>
      <c r="E134" s="5"/>
      <c r="F134" s="3"/>
      <c r="G134" s="20">
        <v>5.52</v>
      </c>
      <c r="H134" s="20"/>
      <c r="I134" s="20"/>
      <c r="J134" s="30">
        <f t="shared" si="3"/>
        <v>5.52</v>
      </c>
      <c r="K134" s="22"/>
      <c r="L134" s="22"/>
      <c r="M134" s="22"/>
    </row>
    <row r="135" spans="1:13" ht="15.2" customHeight="1" thickBot="1">
      <c r="A135" s="22"/>
      <c r="B135" s="22"/>
      <c r="C135" s="22"/>
      <c r="D135" s="26"/>
      <c r="E135" s="5"/>
      <c r="F135" s="3"/>
      <c r="G135" s="20">
        <v>6.12</v>
      </c>
      <c r="H135" s="20"/>
      <c r="I135" s="20"/>
      <c r="J135" s="30">
        <f t="shared" si="3"/>
        <v>6.12</v>
      </c>
      <c r="K135" s="22"/>
      <c r="L135" s="22"/>
      <c r="M135" s="22"/>
    </row>
    <row r="136" spans="1:13" ht="15.2" customHeight="1" thickBot="1">
      <c r="A136" s="22"/>
      <c r="B136" s="22"/>
      <c r="C136" s="22"/>
      <c r="D136" s="26"/>
      <c r="E136" s="5"/>
      <c r="F136" s="3"/>
      <c r="G136" s="20">
        <v>6.8</v>
      </c>
      <c r="H136" s="20"/>
      <c r="I136" s="20"/>
      <c r="J136" s="30">
        <f t="shared" si="3"/>
        <v>6.8</v>
      </c>
      <c r="K136" s="22"/>
      <c r="L136" s="22"/>
      <c r="M136" s="22"/>
    </row>
    <row r="137" spans="1:13" ht="15.2" customHeight="1" thickBot="1">
      <c r="A137" s="22"/>
      <c r="B137" s="22"/>
      <c r="C137" s="22"/>
      <c r="D137" s="26"/>
      <c r="E137" s="5"/>
      <c r="F137" s="3"/>
      <c r="G137" s="20">
        <v>7.65</v>
      </c>
      <c r="H137" s="20"/>
      <c r="I137" s="20"/>
      <c r="J137" s="30">
        <f t="shared" si="3"/>
        <v>7.65</v>
      </c>
      <c r="K137" s="22"/>
      <c r="L137" s="22"/>
      <c r="M137" s="22"/>
    </row>
    <row r="138" spans="1:13" ht="15.2" customHeight="1" thickBot="1">
      <c r="A138" s="22"/>
      <c r="B138" s="22"/>
      <c r="C138" s="22"/>
      <c r="D138" s="26"/>
      <c r="E138" s="5"/>
      <c r="F138" s="3"/>
      <c r="G138" s="20">
        <v>8.51</v>
      </c>
      <c r="H138" s="20"/>
      <c r="I138" s="20"/>
      <c r="J138" s="30">
        <f t="shared" ref="J138:J169" si="4">ROUND(G138,3)</f>
        <v>8.51</v>
      </c>
      <c r="K138" s="22"/>
      <c r="L138" s="22"/>
      <c r="M138" s="22"/>
    </row>
    <row r="139" spans="1:13" ht="15.2" customHeight="1" thickBot="1">
      <c r="A139" s="22"/>
      <c r="B139" s="22"/>
      <c r="C139" s="22"/>
      <c r="D139" s="26"/>
      <c r="E139" s="5"/>
      <c r="F139" s="3"/>
      <c r="G139" s="20">
        <v>9.8000000000000007</v>
      </c>
      <c r="H139" s="20"/>
      <c r="I139" s="20"/>
      <c r="J139" s="30">
        <f t="shared" si="4"/>
        <v>9.8000000000000007</v>
      </c>
      <c r="K139" s="22"/>
      <c r="L139" s="22"/>
      <c r="M139" s="22"/>
    </row>
    <row r="140" spans="1:13" ht="15.2" customHeight="1" thickBot="1">
      <c r="A140" s="22"/>
      <c r="B140" s="22"/>
      <c r="C140" s="22"/>
      <c r="D140" s="26"/>
      <c r="E140" s="5"/>
      <c r="F140" s="3"/>
      <c r="G140" s="20">
        <v>11</v>
      </c>
      <c r="H140" s="20"/>
      <c r="I140" s="20"/>
      <c r="J140" s="30">
        <f t="shared" si="4"/>
        <v>11</v>
      </c>
      <c r="K140" s="22"/>
      <c r="L140" s="22"/>
      <c r="M140" s="22"/>
    </row>
    <row r="141" spans="1:13" ht="15.2" customHeight="1" thickBot="1">
      <c r="A141" s="22"/>
      <c r="B141" s="22"/>
      <c r="C141" s="22"/>
      <c r="D141" s="26"/>
      <c r="E141" s="5"/>
      <c r="F141" s="3"/>
      <c r="G141" s="20">
        <v>11.5</v>
      </c>
      <c r="H141" s="20"/>
      <c r="I141" s="20"/>
      <c r="J141" s="30">
        <f t="shared" si="4"/>
        <v>11.5</v>
      </c>
      <c r="K141" s="22"/>
      <c r="L141" s="22"/>
      <c r="M141" s="22"/>
    </row>
    <row r="142" spans="1:13" ht="15.2" customHeight="1" thickBot="1">
      <c r="A142" s="22"/>
      <c r="B142" s="22"/>
      <c r="C142" s="22"/>
      <c r="D142" s="26"/>
      <c r="E142" s="5"/>
      <c r="F142" s="3"/>
      <c r="G142" s="20">
        <v>7.66</v>
      </c>
      <c r="H142" s="20"/>
      <c r="I142" s="20"/>
      <c r="J142" s="30">
        <f t="shared" si="4"/>
        <v>7.66</v>
      </c>
      <c r="K142" s="22"/>
      <c r="L142" s="22"/>
      <c r="M142" s="22"/>
    </row>
    <row r="143" spans="1:13" ht="15.2" customHeight="1" thickBot="1">
      <c r="A143" s="22"/>
      <c r="B143" s="22"/>
      <c r="C143" s="22"/>
      <c r="D143" s="26"/>
      <c r="E143" s="5"/>
      <c r="F143" s="3"/>
      <c r="G143" s="20">
        <v>4.32</v>
      </c>
      <c r="H143" s="20"/>
      <c r="I143" s="20"/>
      <c r="J143" s="30">
        <f t="shared" si="4"/>
        <v>4.32</v>
      </c>
      <c r="K143" s="22"/>
      <c r="L143" s="22"/>
      <c r="M143" s="22"/>
    </row>
    <row r="144" spans="1:13" ht="15.2" customHeight="1" thickBot="1">
      <c r="A144" s="22"/>
      <c r="B144" s="22"/>
      <c r="C144" s="22"/>
      <c r="D144" s="26"/>
      <c r="E144" s="5"/>
      <c r="F144" s="3"/>
      <c r="G144" s="20">
        <v>2.17</v>
      </c>
      <c r="H144" s="20"/>
      <c r="I144" s="20"/>
      <c r="J144" s="30">
        <f t="shared" si="4"/>
        <v>2.17</v>
      </c>
      <c r="K144" s="22"/>
      <c r="L144" s="22"/>
      <c r="M144" s="22"/>
    </row>
    <row r="145" spans="1:13" ht="15.2" customHeight="1" thickBot="1">
      <c r="A145" s="22"/>
      <c r="B145" s="22"/>
      <c r="C145" s="22"/>
      <c r="D145" s="26"/>
      <c r="E145" s="5"/>
      <c r="F145" s="3"/>
      <c r="G145" s="20">
        <v>6.17</v>
      </c>
      <c r="H145" s="20"/>
      <c r="I145" s="20"/>
      <c r="J145" s="30">
        <f t="shared" si="4"/>
        <v>6.17</v>
      </c>
      <c r="K145" s="22"/>
      <c r="L145" s="22"/>
      <c r="M145" s="22"/>
    </row>
    <row r="146" spans="1:13" ht="15.2" customHeight="1" thickBot="1">
      <c r="A146" s="22"/>
      <c r="B146" s="22"/>
      <c r="C146" s="22"/>
      <c r="D146" s="26"/>
      <c r="E146" s="5"/>
      <c r="F146" s="3"/>
      <c r="G146" s="20">
        <v>5.68</v>
      </c>
      <c r="H146" s="20"/>
      <c r="I146" s="20"/>
      <c r="J146" s="30">
        <f t="shared" si="4"/>
        <v>5.68</v>
      </c>
      <c r="K146" s="22"/>
      <c r="L146" s="22"/>
      <c r="M146" s="22"/>
    </row>
    <row r="147" spans="1:13" ht="15.2" customHeight="1" thickBot="1">
      <c r="A147" s="22"/>
      <c r="B147" s="22"/>
      <c r="C147" s="22"/>
      <c r="D147" s="26"/>
      <c r="E147" s="5"/>
      <c r="F147" s="3"/>
      <c r="G147" s="20">
        <v>5.39</v>
      </c>
      <c r="H147" s="20"/>
      <c r="I147" s="20"/>
      <c r="J147" s="30">
        <f t="shared" si="4"/>
        <v>5.39</v>
      </c>
      <c r="K147" s="22"/>
      <c r="L147" s="22"/>
      <c r="M147" s="22"/>
    </row>
    <row r="148" spans="1:13" ht="15.2" customHeight="1" thickBot="1">
      <c r="A148" s="22"/>
      <c r="B148" s="22"/>
      <c r="C148" s="22"/>
      <c r="D148" s="26"/>
      <c r="E148" s="5"/>
      <c r="F148" s="3"/>
      <c r="G148" s="20">
        <v>5.13</v>
      </c>
      <c r="H148" s="20"/>
      <c r="I148" s="20"/>
      <c r="J148" s="30">
        <f t="shared" si="4"/>
        <v>5.13</v>
      </c>
      <c r="K148" s="22"/>
      <c r="L148" s="22"/>
      <c r="M148" s="22"/>
    </row>
    <row r="149" spans="1:13" ht="15.2" customHeight="1" thickBot="1">
      <c r="A149" s="22"/>
      <c r="B149" s="22"/>
      <c r="C149" s="22"/>
      <c r="D149" s="26"/>
      <c r="E149" s="5"/>
      <c r="F149" s="3"/>
      <c r="G149" s="20">
        <v>2.6</v>
      </c>
      <c r="H149" s="20"/>
      <c r="I149" s="20"/>
      <c r="J149" s="30">
        <f t="shared" si="4"/>
        <v>2.6</v>
      </c>
      <c r="K149" s="22"/>
      <c r="L149" s="22"/>
      <c r="M149" s="22"/>
    </row>
    <row r="150" spans="1:13" ht="15.2" customHeight="1" thickBot="1">
      <c r="A150" s="22"/>
      <c r="B150" s="22"/>
      <c r="C150" s="22"/>
      <c r="D150" s="26"/>
      <c r="E150" s="5"/>
      <c r="F150" s="3"/>
      <c r="G150" s="20">
        <v>2.0499999999999998</v>
      </c>
      <c r="H150" s="20"/>
      <c r="I150" s="20"/>
      <c r="J150" s="30">
        <f t="shared" si="4"/>
        <v>2.0499999999999998</v>
      </c>
      <c r="K150" s="22"/>
      <c r="L150" s="22"/>
      <c r="M150" s="22"/>
    </row>
    <row r="151" spans="1:13" ht="15.2" customHeight="1" thickBot="1">
      <c r="A151" s="22"/>
      <c r="B151" s="22"/>
      <c r="C151" s="22"/>
      <c r="D151" s="26"/>
      <c r="E151" s="5"/>
      <c r="F151" s="3"/>
      <c r="G151" s="20">
        <v>1.77</v>
      </c>
      <c r="H151" s="20"/>
      <c r="I151" s="20"/>
      <c r="J151" s="30">
        <f t="shared" si="4"/>
        <v>1.77</v>
      </c>
      <c r="K151" s="22"/>
      <c r="L151" s="22"/>
      <c r="M151" s="22"/>
    </row>
    <row r="152" spans="1:13" ht="15.2" customHeight="1" thickBot="1">
      <c r="A152" s="22"/>
      <c r="B152" s="22"/>
      <c r="C152" s="22"/>
      <c r="D152" s="26"/>
      <c r="E152" s="5"/>
      <c r="F152" s="3"/>
      <c r="G152" s="20">
        <v>1.49</v>
      </c>
      <c r="H152" s="20"/>
      <c r="I152" s="20"/>
      <c r="J152" s="30">
        <f t="shared" si="4"/>
        <v>1.49</v>
      </c>
      <c r="K152" s="22"/>
      <c r="L152" s="22"/>
      <c r="M152" s="22"/>
    </row>
    <row r="153" spans="1:13" ht="15.2" customHeight="1" thickBot="1">
      <c r="A153" s="22"/>
      <c r="B153" s="22"/>
      <c r="C153" s="22"/>
      <c r="D153" s="26"/>
      <c r="E153" s="5"/>
      <c r="F153" s="3"/>
      <c r="G153" s="20">
        <v>3.33</v>
      </c>
      <c r="H153" s="20"/>
      <c r="I153" s="20"/>
      <c r="J153" s="30">
        <f t="shared" si="4"/>
        <v>3.33</v>
      </c>
      <c r="K153" s="22"/>
      <c r="L153" s="22"/>
      <c r="M153" s="22"/>
    </row>
    <row r="154" spans="1:13" ht="15.2" customHeight="1" thickBot="1">
      <c r="A154" s="22"/>
      <c r="B154" s="22"/>
      <c r="C154" s="22"/>
      <c r="D154" s="26"/>
      <c r="E154" s="5"/>
      <c r="F154" s="3"/>
      <c r="G154" s="20">
        <v>3.03</v>
      </c>
      <c r="H154" s="20"/>
      <c r="I154" s="20"/>
      <c r="J154" s="30">
        <f t="shared" si="4"/>
        <v>3.03</v>
      </c>
      <c r="K154" s="22"/>
      <c r="L154" s="22"/>
      <c r="M154" s="22"/>
    </row>
    <row r="155" spans="1:13" ht="15.2" customHeight="1" thickBot="1">
      <c r="A155" s="22"/>
      <c r="B155" s="22"/>
      <c r="C155" s="22"/>
      <c r="D155" s="26"/>
      <c r="E155" s="5"/>
      <c r="F155" s="3"/>
      <c r="G155" s="20">
        <v>5.01</v>
      </c>
      <c r="H155" s="20"/>
      <c r="I155" s="20"/>
      <c r="J155" s="30">
        <f t="shared" si="4"/>
        <v>5.01</v>
      </c>
      <c r="K155" s="22"/>
      <c r="L155" s="22"/>
      <c r="M155" s="22"/>
    </row>
    <row r="156" spans="1:13" ht="15.2" customHeight="1" thickBot="1">
      <c r="A156" s="22"/>
      <c r="B156" s="22"/>
      <c r="C156" s="22"/>
      <c r="D156" s="26"/>
      <c r="E156" s="5"/>
      <c r="F156" s="3"/>
      <c r="G156" s="20">
        <v>3.81</v>
      </c>
      <c r="H156" s="20"/>
      <c r="I156" s="20"/>
      <c r="J156" s="30">
        <f t="shared" si="4"/>
        <v>3.81</v>
      </c>
      <c r="K156" s="22"/>
      <c r="L156" s="22"/>
      <c r="M156" s="22"/>
    </row>
    <row r="157" spans="1:13" ht="15.2" customHeight="1" thickBot="1">
      <c r="A157" s="22"/>
      <c r="B157" s="22"/>
      <c r="C157" s="22"/>
      <c r="D157" s="26"/>
      <c r="E157" s="5"/>
      <c r="F157" s="3"/>
      <c r="G157" s="20">
        <v>1.86</v>
      </c>
      <c r="H157" s="20"/>
      <c r="I157" s="20"/>
      <c r="J157" s="30">
        <f t="shared" si="4"/>
        <v>1.86</v>
      </c>
      <c r="K157" s="22"/>
      <c r="L157" s="22"/>
      <c r="M157" s="22"/>
    </row>
    <row r="158" spans="1:13" ht="15.2" customHeight="1" thickBot="1">
      <c r="A158" s="22"/>
      <c r="B158" s="22"/>
      <c r="C158" s="22"/>
      <c r="D158" s="26"/>
      <c r="E158" s="5"/>
      <c r="F158" s="3"/>
      <c r="G158" s="20">
        <v>3.34</v>
      </c>
      <c r="H158" s="20"/>
      <c r="I158" s="20"/>
      <c r="J158" s="30">
        <f t="shared" si="4"/>
        <v>3.34</v>
      </c>
      <c r="K158" s="22"/>
      <c r="L158" s="22"/>
      <c r="M158" s="22"/>
    </row>
    <row r="159" spans="1:13" ht="15.2" customHeight="1" thickBot="1">
      <c r="A159" s="22"/>
      <c r="B159" s="22"/>
      <c r="C159" s="22"/>
      <c r="D159" s="26"/>
      <c r="E159" s="5"/>
      <c r="F159" s="3"/>
      <c r="G159" s="20">
        <v>3.61</v>
      </c>
      <c r="H159" s="20"/>
      <c r="I159" s="20"/>
      <c r="J159" s="30">
        <f t="shared" si="4"/>
        <v>3.61</v>
      </c>
      <c r="K159" s="22"/>
      <c r="L159" s="22"/>
      <c r="M159" s="22"/>
    </row>
    <row r="160" spans="1:13" ht="15.2" customHeight="1" thickBot="1">
      <c r="A160" s="22"/>
      <c r="B160" s="22"/>
      <c r="C160" s="22"/>
      <c r="D160" s="26"/>
      <c r="E160" s="5"/>
      <c r="F160" s="3"/>
      <c r="G160" s="20">
        <v>3.6</v>
      </c>
      <c r="H160" s="20"/>
      <c r="I160" s="20"/>
      <c r="J160" s="30">
        <f t="shared" si="4"/>
        <v>3.6</v>
      </c>
      <c r="K160" s="22"/>
      <c r="L160" s="22"/>
      <c r="M160" s="22"/>
    </row>
    <row r="161" spans="1:13" ht="15.2" customHeight="1" thickBot="1">
      <c r="A161" s="22"/>
      <c r="B161" s="22"/>
      <c r="C161" s="22"/>
      <c r="D161" s="26"/>
      <c r="E161" s="5"/>
      <c r="F161" s="3"/>
      <c r="G161" s="20">
        <v>3.53</v>
      </c>
      <c r="H161" s="20"/>
      <c r="I161" s="20"/>
      <c r="J161" s="30">
        <f t="shared" si="4"/>
        <v>3.53</v>
      </c>
      <c r="K161" s="22"/>
      <c r="L161" s="22"/>
      <c r="M161" s="22"/>
    </row>
    <row r="162" spans="1:13" ht="15.2" customHeight="1" thickBot="1">
      <c r="A162" s="22"/>
      <c r="B162" s="22"/>
      <c r="C162" s="22"/>
      <c r="D162" s="26"/>
      <c r="E162" s="5"/>
      <c r="F162" s="3"/>
      <c r="G162" s="20">
        <v>3.49</v>
      </c>
      <c r="H162" s="20"/>
      <c r="I162" s="20"/>
      <c r="J162" s="30">
        <f t="shared" si="4"/>
        <v>3.49</v>
      </c>
      <c r="K162" s="22"/>
      <c r="L162" s="22"/>
      <c r="M162" s="22"/>
    </row>
    <row r="163" spans="1:13" ht="15.2" customHeight="1" thickBot="1">
      <c r="A163" s="22"/>
      <c r="B163" s="22"/>
      <c r="C163" s="22"/>
      <c r="D163" s="26"/>
      <c r="E163" s="5"/>
      <c r="F163" s="3"/>
      <c r="G163" s="20">
        <v>3.45</v>
      </c>
      <c r="H163" s="20"/>
      <c r="I163" s="20"/>
      <c r="J163" s="30">
        <f t="shared" si="4"/>
        <v>3.45</v>
      </c>
      <c r="K163" s="22"/>
      <c r="L163" s="22"/>
      <c r="M163" s="22"/>
    </row>
    <row r="164" spans="1:13" ht="15.2" customHeight="1" thickBot="1">
      <c r="A164" s="22"/>
      <c r="B164" s="22"/>
      <c r="C164" s="22"/>
      <c r="D164" s="26"/>
      <c r="E164" s="5"/>
      <c r="F164" s="3"/>
      <c r="G164" s="20">
        <v>3.45</v>
      </c>
      <c r="H164" s="20"/>
      <c r="I164" s="20"/>
      <c r="J164" s="30">
        <f t="shared" si="4"/>
        <v>3.45</v>
      </c>
      <c r="K164" s="22"/>
      <c r="L164" s="22"/>
      <c r="M164" s="22"/>
    </row>
    <row r="165" spans="1:13" ht="15.2" customHeight="1" thickBot="1">
      <c r="A165" s="22"/>
      <c r="B165" s="22"/>
      <c r="C165" s="22"/>
      <c r="D165" s="26"/>
      <c r="E165" s="5"/>
      <c r="F165" s="3"/>
      <c r="G165" s="20">
        <v>3.4</v>
      </c>
      <c r="H165" s="20"/>
      <c r="I165" s="20"/>
      <c r="J165" s="30">
        <f t="shared" si="4"/>
        <v>3.4</v>
      </c>
      <c r="K165" s="22"/>
      <c r="L165" s="22"/>
      <c r="M165" s="22"/>
    </row>
    <row r="166" spans="1:13" ht="15.2" customHeight="1" thickBot="1">
      <c r="A166" s="22"/>
      <c r="B166" s="22"/>
      <c r="C166" s="22"/>
      <c r="D166" s="26"/>
      <c r="E166" s="5"/>
      <c r="F166" s="3"/>
      <c r="G166" s="20">
        <v>3.34</v>
      </c>
      <c r="H166" s="20"/>
      <c r="I166" s="20"/>
      <c r="J166" s="30">
        <f t="shared" si="4"/>
        <v>3.34</v>
      </c>
      <c r="K166" s="22"/>
      <c r="L166" s="22"/>
      <c r="M166" s="22"/>
    </row>
    <row r="167" spans="1:13" ht="15.2" customHeight="1" thickBot="1">
      <c r="A167" s="22"/>
      <c r="B167" s="22"/>
      <c r="C167" s="22"/>
      <c r="D167" s="26"/>
      <c r="E167" s="5"/>
      <c r="F167" s="3"/>
      <c r="G167" s="20">
        <v>2.95</v>
      </c>
      <c r="H167" s="20"/>
      <c r="I167" s="20"/>
      <c r="J167" s="30">
        <f t="shared" si="4"/>
        <v>2.95</v>
      </c>
      <c r="K167" s="22"/>
      <c r="L167" s="22"/>
      <c r="M167" s="22"/>
    </row>
    <row r="168" spans="1:13" ht="15.2" customHeight="1" thickBot="1">
      <c r="A168" s="22"/>
      <c r="B168" s="22"/>
      <c r="C168" s="22"/>
      <c r="D168" s="26"/>
      <c r="E168" s="5"/>
      <c r="F168" s="3"/>
      <c r="G168" s="20">
        <v>4</v>
      </c>
      <c r="H168" s="20"/>
      <c r="I168" s="20"/>
      <c r="J168" s="30">
        <f t="shared" si="4"/>
        <v>4</v>
      </c>
      <c r="K168" s="22"/>
      <c r="L168" s="22"/>
      <c r="M168" s="22"/>
    </row>
    <row r="169" spans="1:13" ht="15.2" customHeight="1" thickBot="1">
      <c r="A169" s="22"/>
      <c r="B169" s="22"/>
      <c r="C169" s="22"/>
      <c r="D169" s="26"/>
      <c r="E169" s="5"/>
      <c r="F169" s="3"/>
      <c r="G169" s="20">
        <v>4.4000000000000004</v>
      </c>
      <c r="H169" s="20"/>
      <c r="I169" s="20"/>
      <c r="J169" s="30">
        <f t="shared" si="4"/>
        <v>4.4000000000000004</v>
      </c>
      <c r="K169" s="22"/>
      <c r="L169" s="22"/>
      <c r="M169" s="22"/>
    </row>
    <row r="170" spans="1:13" ht="15.2" customHeight="1" thickBot="1">
      <c r="A170" s="22"/>
      <c r="B170" s="22"/>
      <c r="C170" s="22"/>
      <c r="D170" s="26"/>
      <c r="E170" s="5"/>
      <c r="F170" s="3"/>
      <c r="G170" s="20">
        <v>4.7699999999999996</v>
      </c>
      <c r="H170" s="20"/>
      <c r="I170" s="20"/>
      <c r="J170" s="30">
        <f t="shared" ref="J170:J199" si="5">ROUND(G170,3)</f>
        <v>4.7699999999999996</v>
      </c>
      <c r="K170" s="22"/>
      <c r="L170" s="22"/>
      <c r="M170" s="22"/>
    </row>
    <row r="171" spans="1:13" ht="15.2" customHeight="1" thickBot="1">
      <c r="A171" s="22"/>
      <c r="B171" s="22"/>
      <c r="C171" s="22"/>
      <c r="D171" s="26"/>
      <c r="E171" s="5"/>
      <c r="F171" s="3"/>
      <c r="G171" s="20">
        <v>5.12</v>
      </c>
      <c r="H171" s="20"/>
      <c r="I171" s="20"/>
      <c r="J171" s="30">
        <f t="shared" si="5"/>
        <v>5.12</v>
      </c>
      <c r="K171" s="22"/>
      <c r="L171" s="22"/>
      <c r="M171" s="22"/>
    </row>
    <row r="172" spans="1:13" ht="15.2" customHeight="1" thickBot="1">
      <c r="A172" s="22"/>
      <c r="B172" s="22"/>
      <c r="C172" s="22"/>
      <c r="D172" s="26"/>
      <c r="E172" s="5"/>
      <c r="F172" s="3"/>
      <c r="G172" s="20">
        <v>5.45</v>
      </c>
      <c r="H172" s="20"/>
      <c r="I172" s="20"/>
      <c r="J172" s="30">
        <f t="shared" si="5"/>
        <v>5.45</v>
      </c>
      <c r="K172" s="22"/>
      <c r="L172" s="22"/>
      <c r="M172" s="22"/>
    </row>
    <row r="173" spans="1:13" ht="15.2" customHeight="1" thickBot="1">
      <c r="A173" s="22"/>
      <c r="B173" s="22"/>
      <c r="C173" s="22"/>
      <c r="D173" s="26"/>
      <c r="E173" s="5"/>
      <c r="F173" s="3"/>
      <c r="G173" s="20">
        <v>5.77</v>
      </c>
      <c r="H173" s="20"/>
      <c r="I173" s="20"/>
      <c r="J173" s="30">
        <f t="shared" si="5"/>
        <v>5.77</v>
      </c>
      <c r="K173" s="22"/>
      <c r="L173" s="22"/>
      <c r="M173" s="22"/>
    </row>
    <row r="174" spans="1:13" ht="15.2" customHeight="1" thickBot="1">
      <c r="A174" s="22"/>
      <c r="B174" s="22"/>
      <c r="C174" s="22"/>
      <c r="D174" s="26"/>
      <c r="E174" s="5"/>
      <c r="F174" s="3"/>
      <c r="G174" s="20">
        <v>1.8</v>
      </c>
      <c r="H174" s="20"/>
      <c r="I174" s="20"/>
      <c r="J174" s="30">
        <f t="shared" si="5"/>
        <v>1.8</v>
      </c>
      <c r="K174" s="22"/>
      <c r="L174" s="22"/>
      <c r="M174" s="22"/>
    </row>
    <row r="175" spans="1:13" ht="15.2" customHeight="1" thickBot="1">
      <c r="A175" s="22"/>
      <c r="B175" s="22"/>
      <c r="C175" s="22"/>
      <c r="D175" s="26"/>
      <c r="E175" s="5"/>
      <c r="F175" s="3"/>
      <c r="G175" s="20">
        <v>3.17</v>
      </c>
      <c r="H175" s="20"/>
      <c r="I175" s="20"/>
      <c r="J175" s="30">
        <f t="shared" si="5"/>
        <v>3.17</v>
      </c>
      <c r="K175" s="22"/>
      <c r="L175" s="22"/>
      <c r="M175" s="22"/>
    </row>
    <row r="176" spans="1:13" ht="15.2" customHeight="1" thickBot="1">
      <c r="A176" s="22"/>
      <c r="B176" s="22"/>
      <c r="C176" s="22"/>
      <c r="D176" s="26"/>
      <c r="E176" s="5"/>
      <c r="F176" s="3"/>
      <c r="G176" s="20">
        <v>3.55</v>
      </c>
      <c r="H176" s="20"/>
      <c r="I176" s="20"/>
      <c r="J176" s="30">
        <f t="shared" si="5"/>
        <v>3.55</v>
      </c>
      <c r="K176" s="22"/>
      <c r="L176" s="22"/>
      <c r="M176" s="22"/>
    </row>
    <row r="177" spans="1:13" ht="15.2" customHeight="1" thickBot="1">
      <c r="A177" s="22"/>
      <c r="B177" s="22"/>
      <c r="C177" s="22"/>
      <c r="D177" s="26"/>
      <c r="E177" s="5"/>
      <c r="F177" s="3"/>
      <c r="G177" s="20">
        <v>7.19</v>
      </c>
      <c r="H177" s="20"/>
      <c r="I177" s="20"/>
      <c r="J177" s="30">
        <f t="shared" si="5"/>
        <v>7.19</v>
      </c>
      <c r="K177" s="22"/>
      <c r="L177" s="22"/>
      <c r="M177" s="22"/>
    </row>
    <row r="178" spans="1:13" ht="15.2" customHeight="1" thickBot="1">
      <c r="A178" s="22"/>
      <c r="B178" s="22"/>
      <c r="C178" s="22"/>
      <c r="D178" s="26"/>
      <c r="E178" s="5"/>
      <c r="F178" s="3"/>
      <c r="G178" s="20">
        <v>7.25</v>
      </c>
      <c r="H178" s="20"/>
      <c r="I178" s="20"/>
      <c r="J178" s="30">
        <f t="shared" si="5"/>
        <v>7.25</v>
      </c>
      <c r="K178" s="22"/>
      <c r="L178" s="22"/>
      <c r="M178" s="22"/>
    </row>
    <row r="179" spans="1:13" ht="15.2" customHeight="1" thickBot="1">
      <c r="A179" s="22"/>
      <c r="B179" s="22"/>
      <c r="C179" s="22"/>
      <c r="D179" s="26"/>
      <c r="E179" s="5"/>
      <c r="F179" s="3"/>
      <c r="G179" s="20">
        <v>5.83</v>
      </c>
      <c r="H179" s="20"/>
      <c r="I179" s="20"/>
      <c r="J179" s="30">
        <f t="shared" si="5"/>
        <v>5.83</v>
      </c>
      <c r="K179" s="22"/>
      <c r="L179" s="22"/>
      <c r="M179" s="22"/>
    </row>
    <row r="180" spans="1:13" ht="15.2" customHeight="1" thickBot="1">
      <c r="A180" s="22"/>
      <c r="B180" s="22"/>
      <c r="C180" s="22"/>
      <c r="D180" s="26"/>
      <c r="E180" s="5"/>
      <c r="F180" s="3"/>
      <c r="G180" s="20">
        <v>3.46</v>
      </c>
      <c r="H180" s="20"/>
      <c r="I180" s="20"/>
      <c r="J180" s="30">
        <f t="shared" si="5"/>
        <v>3.46</v>
      </c>
      <c r="K180" s="22"/>
      <c r="L180" s="22"/>
      <c r="M180" s="22"/>
    </row>
    <row r="181" spans="1:13" ht="15.2" customHeight="1" thickBot="1">
      <c r="A181" s="22"/>
      <c r="B181" s="22"/>
      <c r="C181" s="22"/>
      <c r="D181" s="26"/>
      <c r="E181" s="5"/>
      <c r="F181" s="3"/>
      <c r="G181" s="20">
        <v>1.47</v>
      </c>
      <c r="H181" s="20"/>
      <c r="I181" s="20"/>
      <c r="J181" s="30">
        <f t="shared" si="5"/>
        <v>1.47</v>
      </c>
      <c r="K181" s="22"/>
      <c r="L181" s="22"/>
      <c r="M181" s="22"/>
    </row>
    <row r="182" spans="1:13" ht="15.2" customHeight="1" thickBot="1">
      <c r="A182" s="22"/>
      <c r="B182" s="22"/>
      <c r="C182" s="22"/>
      <c r="D182" s="26"/>
      <c r="E182" s="5"/>
      <c r="F182" s="3"/>
      <c r="G182" s="20">
        <v>3.48</v>
      </c>
      <c r="H182" s="20"/>
      <c r="I182" s="20"/>
      <c r="J182" s="30">
        <f t="shared" si="5"/>
        <v>3.48</v>
      </c>
      <c r="K182" s="22"/>
      <c r="L182" s="22"/>
      <c r="M182" s="22"/>
    </row>
    <row r="183" spans="1:13" ht="15.2" customHeight="1" thickBot="1">
      <c r="A183" s="22"/>
      <c r="B183" s="22"/>
      <c r="C183" s="22"/>
      <c r="D183" s="26"/>
      <c r="E183" s="5"/>
      <c r="F183" s="3"/>
      <c r="G183" s="20">
        <v>3.1</v>
      </c>
      <c r="H183" s="20"/>
      <c r="I183" s="20"/>
      <c r="J183" s="30">
        <f t="shared" si="5"/>
        <v>3.1</v>
      </c>
      <c r="K183" s="22"/>
      <c r="L183" s="22"/>
      <c r="M183" s="22"/>
    </row>
    <row r="184" spans="1:13" ht="15.2" customHeight="1" thickBot="1">
      <c r="A184" s="22"/>
      <c r="B184" s="22"/>
      <c r="C184" s="22"/>
      <c r="D184" s="26"/>
      <c r="E184" s="5"/>
      <c r="F184" s="3"/>
      <c r="G184" s="20">
        <v>2.64</v>
      </c>
      <c r="H184" s="20"/>
      <c r="I184" s="20"/>
      <c r="J184" s="30">
        <f t="shared" si="5"/>
        <v>2.64</v>
      </c>
      <c r="K184" s="22"/>
      <c r="L184" s="22"/>
      <c r="M184" s="22"/>
    </row>
    <row r="185" spans="1:13" ht="15.2" customHeight="1" thickBot="1">
      <c r="A185" s="22"/>
      <c r="B185" s="22"/>
      <c r="C185" s="22"/>
      <c r="D185" s="26"/>
      <c r="E185" s="5"/>
      <c r="F185" s="3"/>
      <c r="G185" s="20">
        <v>2.2000000000000002</v>
      </c>
      <c r="H185" s="20"/>
      <c r="I185" s="20"/>
      <c r="J185" s="30">
        <f t="shared" si="5"/>
        <v>2.2000000000000002</v>
      </c>
      <c r="K185" s="22"/>
      <c r="L185" s="22"/>
      <c r="M185" s="22"/>
    </row>
    <row r="186" spans="1:13" ht="15.2" customHeight="1" thickBot="1">
      <c r="A186" s="22"/>
      <c r="B186" s="22"/>
      <c r="C186" s="22"/>
      <c r="D186" s="26"/>
      <c r="E186" s="5"/>
      <c r="F186" s="3"/>
      <c r="G186" s="20">
        <v>1.77</v>
      </c>
      <c r="H186" s="20"/>
      <c r="I186" s="20"/>
      <c r="J186" s="30">
        <f t="shared" si="5"/>
        <v>1.77</v>
      </c>
      <c r="K186" s="22"/>
      <c r="L186" s="22"/>
      <c r="M186" s="22"/>
    </row>
    <row r="187" spans="1:13" ht="15.2" customHeight="1" thickBot="1">
      <c r="A187" s="22"/>
      <c r="B187" s="22"/>
      <c r="C187" s="22"/>
      <c r="D187" s="26"/>
      <c r="E187" s="5"/>
      <c r="F187" s="3"/>
      <c r="G187" s="20">
        <v>4.3</v>
      </c>
      <c r="H187" s="20"/>
      <c r="I187" s="20"/>
      <c r="J187" s="30">
        <f t="shared" si="5"/>
        <v>4.3</v>
      </c>
      <c r="K187" s="22"/>
      <c r="L187" s="22"/>
      <c r="M187" s="22"/>
    </row>
    <row r="188" spans="1:13" ht="15.2" customHeight="1" thickBot="1">
      <c r="A188" s="22"/>
      <c r="B188" s="22"/>
      <c r="C188" s="22"/>
      <c r="D188" s="26"/>
      <c r="E188" s="5"/>
      <c r="F188" s="3"/>
      <c r="G188" s="20">
        <v>3.5</v>
      </c>
      <c r="H188" s="20"/>
      <c r="I188" s="20"/>
      <c r="J188" s="30">
        <f t="shared" si="5"/>
        <v>3.5</v>
      </c>
      <c r="K188" s="22"/>
      <c r="L188" s="22"/>
      <c r="M188" s="22"/>
    </row>
    <row r="189" spans="1:13" ht="15.2" customHeight="1" thickBot="1">
      <c r="A189" s="22"/>
      <c r="B189" s="22"/>
      <c r="C189" s="22"/>
      <c r="D189" s="26"/>
      <c r="E189" s="5"/>
      <c r="F189" s="3"/>
      <c r="G189" s="20">
        <v>5</v>
      </c>
      <c r="H189" s="20"/>
      <c r="I189" s="20"/>
      <c r="J189" s="30">
        <f t="shared" si="5"/>
        <v>5</v>
      </c>
      <c r="K189" s="22"/>
      <c r="L189" s="22"/>
      <c r="M189" s="22"/>
    </row>
    <row r="190" spans="1:13" ht="15.2" customHeight="1" thickBot="1">
      <c r="A190" s="22"/>
      <c r="B190" s="22"/>
      <c r="C190" s="22"/>
      <c r="D190" s="26"/>
      <c r="E190" s="5"/>
      <c r="F190" s="3"/>
      <c r="G190" s="20">
        <v>3.43</v>
      </c>
      <c r="H190" s="20"/>
      <c r="I190" s="20"/>
      <c r="J190" s="30">
        <f t="shared" si="5"/>
        <v>3.43</v>
      </c>
      <c r="K190" s="22"/>
      <c r="L190" s="22"/>
      <c r="M190" s="22"/>
    </row>
    <row r="191" spans="1:13" ht="15.2" customHeight="1" thickBot="1">
      <c r="A191" s="22"/>
      <c r="B191" s="22"/>
      <c r="C191" s="22"/>
      <c r="D191" s="26"/>
      <c r="E191" s="5"/>
      <c r="F191" s="3"/>
      <c r="G191" s="20">
        <v>4.4800000000000004</v>
      </c>
      <c r="H191" s="20"/>
      <c r="I191" s="20"/>
      <c r="J191" s="30">
        <f t="shared" si="5"/>
        <v>4.4800000000000004</v>
      </c>
      <c r="K191" s="22"/>
      <c r="L191" s="22"/>
      <c r="M191" s="22"/>
    </row>
    <row r="192" spans="1:13" ht="15.2" customHeight="1" thickBot="1">
      <c r="A192" s="22"/>
      <c r="B192" s="22"/>
      <c r="C192" s="22"/>
      <c r="D192" s="26"/>
      <c r="E192" s="5"/>
      <c r="F192" s="3"/>
      <c r="G192" s="20">
        <v>3.26</v>
      </c>
      <c r="H192" s="20"/>
      <c r="I192" s="20"/>
      <c r="J192" s="30">
        <f t="shared" si="5"/>
        <v>3.26</v>
      </c>
      <c r="K192" s="22"/>
      <c r="L192" s="22"/>
      <c r="M192" s="22"/>
    </row>
    <row r="193" spans="1:13" ht="15.2" customHeight="1" thickBot="1">
      <c r="A193" s="22"/>
      <c r="B193" s="22"/>
      <c r="C193" s="22"/>
      <c r="D193" s="26"/>
      <c r="E193" s="5"/>
      <c r="F193" s="3"/>
      <c r="G193" s="20">
        <v>4</v>
      </c>
      <c r="H193" s="20"/>
      <c r="I193" s="20"/>
      <c r="J193" s="30">
        <f t="shared" si="5"/>
        <v>4</v>
      </c>
      <c r="K193" s="22"/>
      <c r="L193" s="22"/>
      <c r="M193" s="22"/>
    </row>
    <row r="194" spans="1:13" ht="15.2" customHeight="1" thickBot="1">
      <c r="A194" s="22"/>
      <c r="B194" s="22"/>
      <c r="C194" s="22"/>
      <c r="D194" s="26"/>
      <c r="E194" s="5"/>
      <c r="F194" s="3"/>
      <c r="G194" s="20">
        <v>3.2</v>
      </c>
      <c r="H194" s="20"/>
      <c r="I194" s="20"/>
      <c r="J194" s="30">
        <f t="shared" si="5"/>
        <v>3.2</v>
      </c>
      <c r="K194" s="22"/>
      <c r="L194" s="22"/>
      <c r="M194" s="22"/>
    </row>
    <row r="195" spans="1:13" ht="15.2" customHeight="1" thickBot="1">
      <c r="A195" s="22"/>
      <c r="B195" s="22"/>
      <c r="C195" s="22"/>
      <c r="D195" s="26"/>
      <c r="E195" s="5"/>
      <c r="F195" s="3"/>
      <c r="G195" s="20">
        <v>3.52</v>
      </c>
      <c r="H195" s="20"/>
      <c r="I195" s="20"/>
      <c r="J195" s="30">
        <f t="shared" si="5"/>
        <v>3.52</v>
      </c>
      <c r="K195" s="22"/>
      <c r="L195" s="22"/>
      <c r="M195" s="22"/>
    </row>
    <row r="196" spans="1:13" ht="15.2" customHeight="1" thickBot="1">
      <c r="A196" s="22"/>
      <c r="B196" s="22"/>
      <c r="C196" s="22"/>
      <c r="D196" s="26"/>
      <c r="E196" s="5"/>
      <c r="F196" s="3"/>
      <c r="G196" s="20">
        <v>3.12</v>
      </c>
      <c r="H196" s="20"/>
      <c r="I196" s="20"/>
      <c r="J196" s="30">
        <f t="shared" si="5"/>
        <v>3.12</v>
      </c>
      <c r="K196" s="22"/>
      <c r="L196" s="22"/>
      <c r="M196" s="22"/>
    </row>
    <row r="197" spans="1:13" ht="15.2" customHeight="1" thickBot="1">
      <c r="A197" s="22"/>
      <c r="B197" s="22"/>
      <c r="C197" s="22"/>
      <c r="D197" s="26"/>
      <c r="E197" s="5"/>
      <c r="F197" s="3"/>
      <c r="G197" s="20">
        <v>3.08</v>
      </c>
      <c r="H197" s="20"/>
      <c r="I197" s="20"/>
      <c r="J197" s="30">
        <f t="shared" si="5"/>
        <v>3.08</v>
      </c>
      <c r="K197" s="22"/>
      <c r="L197" s="22"/>
      <c r="M197" s="22"/>
    </row>
    <row r="198" spans="1:13" ht="15.2" customHeight="1" thickBot="1">
      <c r="A198" s="22"/>
      <c r="B198" s="22"/>
      <c r="C198" s="22"/>
      <c r="D198" s="26"/>
      <c r="E198" s="5"/>
      <c r="F198" s="3"/>
      <c r="G198" s="20">
        <v>3.08</v>
      </c>
      <c r="H198" s="20"/>
      <c r="I198" s="20"/>
      <c r="J198" s="30">
        <f t="shared" si="5"/>
        <v>3.08</v>
      </c>
      <c r="K198" s="22"/>
      <c r="L198" s="22"/>
      <c r="M198" s="22"/>
    </row>
    <row r="199" spans="1:13" ht="15.2" customHeight="1" thickBot="1">
      <c r="A199" s="22"/>
      <c r="B199" s="22"/>
      <c r="C199" s="22"/>
      <c r="D199" s="26"/>
      <c r="E199" s="5"/>
      <c r="F199" s="3"/>
      <c r="G199" s="20">
        <v>2.8</v>
      </c>
      <c r="H199" s="20"/>
      <c r="I199" s="20"/>
      <c r="J199" s="30">
        <f t="shared" si="5"/>
        <v>2.8</v>
      </c>
      <c r="K199" s="33">
        <f>SUM(J74:J199)</f>
        <v>518.16</v>
      </c>
      <c r="L199" s="22"/>
      <c r="M199" s="22"/>
    </row>
    <row r="200" spans="1:13" ht="15.2" customHeight="1" thickBot="1">
      <c r="A200" s="22"/>
      <c r="B200" s="22"/>
      <c r="C200" s="22"/>
      <c r="D200" s="22"/>
      <c r="E200" s="23" t="s">
        <v>218</v>
      </c>
      <c r="F200" s="25" t="s">
        <v>219</v>
      </c>
      <c r="G200" s="25" t="s">
        <v>220</v>
      </c>
      <c r="H200" s="25" t="s">
        <v>221</v>
      </c>
      <c r="I200" s="25" t="s">
        <v>222</v>
      </c>
      <c r="J200" s="25" t="s">
        <v>223</v>
      </c>
      <c r="K200" s="25" t="s">
        <v>224</v>
      </c>
      <c r="L200" s="22"/>
      <c r="M200" s="22"/>
    </row>
    <row r="201" spans="1:13" ht="15.2" customHeight="1" thickBot="1">
      <c r="A201" s="22"/>
      <c r="B201" s="22"/>
      <c r="C201" s="22"/>
      <c r="D201" s="26"/>
      <c r="E201" s="27"/>
      <c r="F201" s="28"/>
      <c r="G201" s="29">
        <v>53.36</v>
      </c>
      <c r="H201" s="29"/>
      <c r="I201" s="29"/>
      <c r="J201" s="31">
        <f t="shared" ref="J201:J214" si="6">ROUND(G201,3)</f>
        <v>53.36</v>
      </c>
      <c r="K201" s="32"/>
      <c r="L201" s="22"/>
      <c r="M201" s="22"/>
    </row>
    <row r="202" spans="1:13" ht="15.2" customHeight="1" thickBot="1">
      <c r="A202" s="22"/>
      <c r="B202" s="22"/>
      <c r="C202" s="22"/>
      <c r="D202" s="26"/>
      <c r="E202" s="5"/>
      <c r="F202" s="3"/>
      <c r="G202" s="20">
        <v>49.15</v>
      </c>
      <c r="H202" s="20"/>
      <c r="I202" s="20"/>
      <c r="J202" s="30">
        <f t="shared" si="6"/>
        <v>49.15</v>
      </c>
      <c r="K202" s="22"/>
      <c r="L202" s="22"/>
      <c r="M202" s="22"/>
    </row>
    <row r="203" spans="1:13" ht="15.2" customHeight="1" thickBot="1">
      <c r="A203" s="22"/>
      <c r="B203" s="22"/>
      <c r="C203" s="22"/>
      <c r="D203" s="26"/>
      <c r="E203" s="5"/>
      <c r="F203" s="3"/>
      <c r="G203" s="20">
        <v>11.88</v>
      </c>
      <c r="H203" s="20"/>
      <c r="I203" s="20"/>
      <c r="J203" s="30">
        <f t="shared" si="6"/>
        <v>11.88</v>
      </c>
      <c r="K203" s="22"/>
      <c r="L203" s="22"/>
      <c r="M203" s="22"/>
    </row>
    <row r="204" spans="1:13" ht="15.2" customHeight="1" thickBot="1">
      <c r="A204" s="22"/>
      <c r="B204" s="22"/>
      <c r="C204" s="22"/>
      <c r="D204" s="26"/>
      <c r="E204" s="5"/>
      <c r="F204" s="3"/>
      <c r="G204" s="20">
        <v>3.56</v>
      </c>
      <c r="H204" s="20"/>
      <c r="I204" s="20"/>
      <c r="J204" s="30">
        <f t="shared" si="6"/>
        <v>3.56</v>
      </c>
      <c r="K204" s="22"/>
      <c r="L204" s="22"/>
      <c r="M204" s="22"/>
    </row>
    <row r="205" spans="1:13" ht="15.2" customHeight="1" thickBot="1">
      <c r="A205" s="22"/>
      <c r="B205" s="22"/>
      <c r="C205" s="22"/>
      <c r="D205" s="26"/>
      <c r="E205" s="5"/>
      <c r="F205" s="3"/>
      <c r="G205" s="20">
        <v>3.56</v>
      </c>
      <c r="H205" s="20"/>
      <c r="I205" s="20"/>
      <c r="J205" s="30">
        <f t="shared" si="6"/>
        <v>3.56</v>
      </c>
      <c r="K205" s="22"/>
      <c r="L205" s="22"/>
      <c r="M205" s="22"/>
    </row>
    <row r="206" spans="1:13" ht="15.2" customHeight="1" thickBot="1">
      <c r="A206" s="22"/>
      <c r="B206" s="22"/>
      <c r="C206" s="22"/>
      <c r="D206" s="26"/>
      <c r="E206" s="5"/>
      <c r="F206" s="3"/>
      <c r="G206" s="20">
        <v>6.08</v>
      </c>
      <c r="H206" s="20"/>
      <c r="I206" s="20"/>
      <c r="J206" s="30">
        <f t="shared" si="6"/>
        <v>6.08</v>
      </c>
      <c r="K206" s="22"/>
      <c r="L206" s="22"/>
      <c r="M206" s="22"/>
    </row>
    <row r="207" spans="1:13" ht="15.2" customHeight="1" thickBot="1">
      <c r="A207" s="22"/>
      <c r="B207" s="22"/>
      <c r="C207" s="22"/>
      <c r="D207" s="26"/>
      <c r="E207" s="5"/>
      <c r="F207" s="3"/>
      <c r="G207" s="20">
        <v>29.2</v>
      </c>
      <c r="H207" s="20"/>
      <c r="I207" s="20"/>
      <c r="J207" s="30">
        <f t="shared" si="6"/>
        <v>29.2</v>
      </c>
      <c r="K207" s="22"/>
      <c r="L207" s="22"/>
      <c r="M207" s="22"/>
    </row>
    <row r="208" spans="1:13" ht="15.2" customHeight="1" thickBot="1">
      <c r="A208" s="22"/>
      <c r="B208" s="22"/>
      <c r="C208" s="22"/>
      <c r="D208" s="26"/>
      <c r="E208" s="5"/>
      <c r="F208" s="3"/>
      <c r="G208" s="20">
        <v>16.399999999999999</v>
      </c>
      <c r="H208" s="20"/>
      <c r="I208" s="20"/>
      <c r="J208" s="30">
        <f t="shared" si="6"/>
        <v>16.399999999999999</v>
      </c>
      <c r="K208" s="22"/>
      <c r="L208" s="22"/>
      <c r="M208" s="22"/>
    </row>
    <row r="209" spans="1:13" ht="15.2" customHeight="1" thickBot="1">
      <c r="A209" s="22"/>
      <c r="B209" s="22"/>
      <c r="C209" s="22"/>
      <c r="D209" s="26"/>
      <c r="E209" s="5"/>
      <c r="F209" s="3"/>
      <c r="G209" s="20">
        <v>2.9</v>
      </c>
      <c r="H209" s="20"/>
      <c r="I209" s="20"/>
      <c r="J209" s="30">
        <f t="shared" si="6"/>
        <v>2.9</v>
      </c>
      <c r="K209" s="22"/>
      <c r="L209" s="22"/>
      <c r="M209" s="22"/>
    </row>
    <row r="210" spans="1:13" ht="15.2" customHeight="1" thickBot="1">
      <c r="A210" s="22"/>
      <c r="B210" s="22"/>
      <c r="C210" s="22"/>
      <c r="D210" s="26"/>
      <c r="E210" s="5"/>
      <c r="F210" s="3"/>
      <c r="G210" s="20">
        <v>37.58</v>
      </c>
      <c r="H210" s="20"/>
      <c r="I210" s="20"/>
      <c r="J210" s="30">
        <f t="shared" si="6"/>
        <v>37.58</v>
      </c>
      <c r="K210" s="22"/>
      <c r="L210" s="22"/>
      <c r="M210" s="22"/>
    </row>
    <row r="211" spans="1:13" ht="15.2" customHeight="1" thickBot="1">
      <c r="A211" s="22"/>
      <c r="B211" s="22"/>
      <c r="C211" s="22"/>
      <c r="D211" s="26"/>
      <c r="E211" s="5"/>
      <c r="F211" s="3"/>
      <c r="G211" s="20">
        <v>4.04</v>
      </c>
      <c r="H211" s="20"/>
      <c r="I211" s="20"/>
      <c r="J211" s="30">
        <f t="shared" si="6"/>
        <v>4.04</v>
      </c>
      <c r="K211" s="22"/>
      <c r="L211" s="22"/>
      <c r="M211" s="22"/>
    </row>
    <row r="212" spans="1:13" ht="15.2" customHeight="1" thickBot="1">
      <c r="A212" s="22"/>
      <c r="B212" s="22"/>
      <c r="C212" s="22"/>
      <c r="D212" s="26"/>
      <c r="E212" s="5"/>
      <c r="F212" s="3"/>
      <c r="G212" s="20">
        <v>35.770000000000003</v>
      </c>
      <c r="H212" s="20"/>
      <c r="I212" s="20"/>
      <c r="J212" s="30">
        <f t="shared" si="6"/>
        <v>35.770000000000003</v>
      </c>
      <c r="K212" s="22"/>
      <c r="L212" s="22"/>
      <c r="M212" s="22"/>
    </row>
    <row r="213" spans="1:13" ht="15.2" customHeight="1" thickBot="1">
      <c r="A213" s="22"/>
      <c r="B213" s="22"/>
      <c r="C213" s="22"/>
      <c r="D213" s="26"/>
      <c r="E213" s="5"/>
      <c r="F213" s="3"/>
      <c r="G213" s="20">
        <v>8.14</v>
      </c>
      <c r="H213" s="20"/>
      <c r="I213" s="20"/>
      <c r="J213" s="30">
        <f t="shared" si="6"/>
        <v>8.14</v>
      </c>
      <c r="K213" s="22"/>
      <c r="L213" s="22"/>
      <c r="M213" s="22"/>
    </row>
    <row r="214" spans="1:13" ht="15.2" customHeight="1" thickBot="1">
      <c r="A214" s="22"/>
      <c r="B214" s="22"/>
      <c r="C214" s="22"/>
      <c r="D214" s="26"/>
      <c r="E214" s="5"/>
      <c r="F214" s="3"/>
      <c r="G214" s="20">
        <v>77.319999999999993</v>
      </c>
      <c r="H214" s="20"/>
      <c r="I214" s="20"/>
      <c r="J214" s="30">
        <f t="shared" si="6"/>
        <v>77.319999999999993</v>
      </c>
      <c r="K214" s="33">
        <f>SUM(J201:J214)</f>
        <v>338.94</v>
      </c>
      <c r="L214" s="22"/>
      <c r="M214" s="22"/>
    </row>
    <row r="215" spans="1:13" ht="49.15" customHeight="1" thickBot="1">
      <c r="A215" s="10" t="s">
        <v>225</v>
      </c>
      <c r="B215" s="5" t="s">
        <v>226</v>
      </c>
      <c r="C215" s="5" t="s">
        <v>227</v>
      </c>
      <c r="D215" s="59" t="s">
        <v>228</v>
      </c>
      <c r="E215" s="59"/>
      <c r="F215" s="59"/>
      <c r="G215" s="59"/>
      <c r="H215" s="59"/>
      <c r="I215" s="59"/>
      <c r="J215" s="59"/>
      <c r="K215" s="20">
        <f>ROUND(180,2)</f>
        <v>180</v>
      </c>
      <c r="L215" s="21">
        <f>ROUND(21.63*(1+M2/100),2)</f>
        <v>22.06</v>
      </c>
      <c r="M215" s="21">
        <f>ROUND(K215*L215,2)</f>
        <v>3970.8</v>
      </c>
    </row>
    <row r="216" spans="1:13" ht="76.900000000000006" customHeight="1" thickBot="1">
      <c r="A216" s="10" t="s">
        <v>229</v>
      </c>
      <c r="B216" s="5" t="s">
        <v>230</v>
      </c>
      <c r="C216" s="5" t="s">
        <v>231</v>
      </c>
      <c r="D216" s="59" t="s">
        <v>232</v>
      </c>
      <c r="E216" s="59"/>
      <c r="F216" s="59"/>
      <c r="G216" s="59"/>
      <c r="H216" s="59"/>
      <c r="I216" s="59"/>
      <c r="J216" s="59"/>
      <c r="K216" s="20">
        <f>SUM(K218:K219)</f>
        <v>1100</v>
      </c>
      <c r="L216" s="21">
        <f>ROUND(25.52*(1+M2/100),2)</f>
        <v>26.03</v>
      </c>
      <c r="M216" s="21">
        <f>ROUND(K216*L216,2)</f>
        <v>28633</v>
      </c>
    </row>
    <row r="217" spans="1:13" ht="15.2" customHeight="1" thickBot="1">
      <c r="A217" s="22"/>
      <c r="B217" s="22"/>
      <c r="C217" s="22"/>
      <c r="D217" s="22"/>
      <c r="E217" s="23"/>
      <c r="F217" s="25" t="s">
        <v>233</v>
      </c>
      <c r="G217" s="25" t="s">
        <v>234</v>
      </c>
      <c r="H217" s="25" t="s">
        <v>235</v>
      </c>
      <c r="I217" s="25" t="s">
        <v>236</v>
      </c>
      <c r="J217" s="25" t="s">
        <v>237</v>
      </c>
      <c r="K217" s="25" t="s">
        <v>238</v>
      </c>
      <c r="L217" s="22"/>
      <c r="M217" s="22"/>
    </row>
    <row r="218" spans="1:13" ht="15.2" customHeight="1" thickBot="1">
      <c r="A218" s="22"/>
      <c r="B218" s="22"/>
      <c r="C218" s="22"/>
      <c r="D218" s="26"/>
      <c r="E218" s="27" t="s">
        <v>239</v>
      </c>
      <c r="F218" s="28"/>
      <c r="G218" s="29">
        <v>1100</v>
      </c>
      <c r="H218" s="29"/>
      <c r="I218" s="29"/>
      <c r="J218" s="31">
        <f>ROUND(G218,3)</f>
        <v>1100</v>
      </c>
      <c r="K218" s="32"/>
      <c r="L218" s="22"/>
      <c r="M218" s="22"/>
    </row>
    <row r="219" spans="1:13" ht="15.2" customHeight="1" thickBot="1">
      <c r="A219" s="22"/>
      <c r="B219" s="22"/>
      <c r="C219" s="22"/>
      <c r="D219" s="26"/>
      <c r="E219" s="5"/>
      <c r="F219" s="3"/>
      <c r="G219" s="20"/>
      <c r="H219" s="20"/>
      <c r="I219" s="20"/>
      <c r="J219" s="24" t="s">
        <v>240</v>
      </c>
      <c r="K219" s="33">
        <f>SUM(J218:J219)</f>
        <v>1100</v>
      </c>
      <c r="L219" s="22"/>
      <c r="M219" s="22"/>
    </row>
    <row r="220" spans="1:13" ht="49.15" customHeight="1" thickBot="1">
      <c r="A220" s="10" t="s">
        <v>241</v>
      </c>
      <c r="B220" s="5" t="s">
        <v>242</v>
      </c>
      <c r="C220" s="5" t="s">
        <v>243</v>
      </c>
      <c r="D220" s="59" t="s">
        <v>244</v>
      </c>
      <c r="E220" s="59"/>
      <c r="F220" s="59"/>
      <c r="G220" s="59"/>
      <c r="H220" s="59"/>
      <c r="I220" s="59"/>
      <c r="J220" s="59"/>
      <c r="K220" s="20">
        <f>ROUND(1,2)</f>
        <v>1</v>
      </c>
      <c r="L220" s="21">
        <f>ROUND(86.67*(1+M2/100),2)</f>
        <v>88.4</v>
      </c>
      <c r="M220" s="21">
        <f>ROUND(K220*L220,2)</f>
        <v>88.4</v>
      </c>
    </row>
    <row r="221" spans="1:13" ht="15.4" customHeight="1" thickBot="1">
      <c r="A221" s="34"/>
      <c r="B221" s="34"/>
      <c r="C221" s="34"/>
      <c r="D221" s="49" t="s">
        <v>245</v>
      </c>
      <c r="E221" s="50"/>
      <c r="F221" s="50"/>
      <c r="G221" s="50"/>
      <c r="H221" s="50"/>
      <c r="I221" s="50"/>
      <c r="J221" s="50"/>
      <c r="K221" s="50"/>
      <c r="L221" s="51">
        <f>M64+M72+M215+M216+M220</f>
        <v>46000</v>
      </c>
      <c r="M221" s="51">
        <f>ROUND(L221,2)</f>
        <v>46000</v>
      </c>
    </row>
    <row r="222" spans="1:13" ht="15.4" customHeight="1" thickBot="1">
      <c r="A222" s="46" t="s">
        <v>246</v>
      </c>
      <c r="B222" s="46" t="s">
        <v>247</v>
      </c>
      <c r="C222" s="47"/>
      <c r="D222" s="61" t="s">
        <v>248</v>
      </c>
      <c r="E222" s="61"/>
      <c r="F222" s="61"/>
      <c r="G222" s="61"/>
      <c r="H222" s="61"/>
      <c r="I222" s="61"/>
      <c r="J222" s="61"/>
      <c r="K222" s="47"/>
      <c r="L222" s="48">
        <f>L300</f>
        <v>24499.999999999989</v>
      </c>
      <c r="M222" s="48">
        <f>ROUND(L222,2)</f>
        <v>24500</v>
      </c>
    </row>
    <row r="223" spans="1:13" ht="21.4" customHeight="1" thickBot="1">
      <c r="A223" s="10" t="s">
        <v>249</v>
      </c>
      <c r="B223" s="5" t="s">
        <v>250</v>
      </c>
      <c r="C223" s="5" t="s">
        <v>251</v>
      </c>
      <c r="D223" s="59" t="s">
        <v>252</v>
      </c>
      <c r="E223" s="59"/>
      <c r="F223" s="59"/>
      <c r="G223" s="59"/>
      <c r="H223" s="59"/>
      <c r="I223" s="59"/>
      <c r="J223" s="59"/>
      <c r="K223" s="20">
        <f>SUM(K225:K226)</f>
        <v>1300</v>
      </c>
      <c r="L223" s="21">
        <f>ROUND(4.82*(1+M2/100),2)</f>
        <v>4.92</v>
      </c>
      <c r="M223" s="21">
        <f>ROUND(K223*L223,2)</f>
        <v>6396</v>
      </c>
    </row>
    <row r="224" spans="1:13" ht="15.2" customHeight="1" thickBot="1">
      <c r="A224" s="22"/>
      <c r="B224" s="22"/>
      <c r="C224" s="22"/>
      <c r="D224" s="22"/>
      <c r="E224" s="23"/>
      <c r="F224" s="25" t="s">
        <v>253</v>
      </c>
      <c r="G224" s="25" t="s">
        <v>254</v>
      </c>
      <c r="H224" s="25" t="s">
        <v>255</v>
      </c>
      <c r="I224" s="25" t="s">
        <v>256</v>
      </c>
      <c r="J224" s="25" t="s">
        <v>257</v>
      </c>
      <c r="K224" s="25" t="s">
        <v>258</v>
      </c>
      <c r="L224" s="22"/>
      <c r="M224" s="22"/>
    </row>
    <row r="225" spans="1:13" ht="21.4" customHeight="1" thickBot="1">
      <c r="A225" s="22"/>
      <c r="B225" s="22"/>
      <c r="C225" s="22"/>
      <c r="D225" s="26"/>
      <c r="E225" s="27" t="s">
        <v>259</v>
      </c>
      <c r="F225" s="28"/>
      <c r="G225" s="29">
        <v>1280</v>
      </c>
      <c r="H225" s="29"/>
      <c r="I225" s="29"/>
      <c r="J225" s="31">
        <f>ROUND(G225,3)</f>
        <v>1280</v>
      </c>
      <c r="K225" s="32"/>
      <c r="L225" s="22"/>
      <c r="M225" s="22"/>
    </row>
    <row r="226" spans="1:13" ht="15.2" customHeight="1" thickBot="1">
      <c r="A226" s="22"/>
      <c r="B226" s="22"/>
      <c r="C226" s="22"/>
      <c r="D226" s="26"/>
      <c r="E226" s="5" t="s">
        <v>260</v>
      </c>
      <c r="F226" s="3"/>
      <c r="G226" s="20">
        <v>20</v>
      </c>
      <c r="H226" s="20"/>
      <c r="I226" s="20"/>
      <c r="J226" s="30">
        <f>ROUND(G226,3)</f>
        <v>20</v>
      </c>
      <c r="K226" s="33">
        <f>SUM(J225:J226)</f>
        <v>1300</v>
      </c>
      <c r="L226" s="22"/>
      <c r="M226" s="22"/>
    </row>
    <row r="227" spans="1:13" ht="30.6" customHeight="1" thickBot="1">
      <c r="A227" s="10" t="s">
        <v>261</v>
      </c>
      <c r="B227" s="5" t="s">
        <v>262</v>
      </c>
      <c r="C227" s="5" t="s">
        <v>263</v>
      </c>
      <c r="D227" s="59" t="s">
        <v>264</v>
      </c>
      <c r="E227" s="59"/>
      <c r="F227" s="59"/>
      <c r="G227" s="59"/>
      <c r="H227" s="59"/>
      <c r="I227" s="59"/>
      <c r="J227" s="59"/>
      <c r="K227" s="20">
        <f>ROUND(250,2)</f>
        <v>250</v>
      </c>
      <c r="L227" s="21">
        <f>ROUND(5.04*(1+M2/100),2)</f>
        <v>5.14</v>
      </c>
      <c r="M227" s="21">
        <f>ROUND(K227*L227,2)</f>
        <v>1285</v>
      </c>
    </row>
    <row r="228" spans="1:13" ht="30.6" customHeight="1" thickBot="1">
      <c r="A228" s="10" t="s">
        <v>265</v>
      </c>
      <c r="B228" s="5" t="s">
        <v>266</v>
      </c>
      <c r="C228" s="5" t="s">
        <v>267</v>
      </c>
      <c r="D228" s="59" t="s">
        <v>268</v>
      </c>
      <c r="E228" s="59"/>
      <c r="F228" s="59"/>
      <c r="G228" s="59"/>
      <c r="H228" s="59"/>
      <c r="I228" s="59"/>
      <c r="J228" s="59"/>
      <c r="K228" s="20">
        <f>ROUND(250,2)</f>
        <v>250</v>
      </c>
      <c r="L228" s="21">
        <f>ROUND(5.41*(1+M2/100),2)</f>
        <v>5.52</v>
      </c>
      <c r="M228" s="21">
        <f>ROUND(K228*L228,2)</f>
        <v>1380</v>
      </c>
    </row>
    <row r="229" spans="1:13" ht="21.4" customHeight="1" thickBot="1">
      <c r="A229" s="10" t="s">
        <v>269</v>
      </c>
      <c r="B229" s="5" t="s">
        <v>270</v>
      </c>
      <c r="C229" s="5" t="s">
        <v>271</v>
      </c>
      <c r="D229" s="59" t="s">
        <v>272</v>
      </c>
      <c r="E229" s="59"/>
      <c r="F229" s="59"/>
      <c r="G229" s="59"/>
      <c r="H229" s="59"/>
      <c r="I229" s="59"/>
      <c r="J229" s="59"/>
      <c r="K229" s="20">
        <f>SUM(K231:K241)</f>
        <v>112.46100000000001</v>
      </c>
      <c r="L229" s="21">
        <f>ROUND(20.81*(1+M2/100),2)</f>
        <v>21.23</v>
      </c>
      <c r="M229" s="21">
        <f>ROUND(K229*L229,2)</f>
        <v>2387.5500000000002</v>
      </c>
    </row>
    <row r="230" spans="1:13" ht="15.2" customHeight="1" thickBot="1">
      <c r="A230" s="22"/>
      <c r="B230" s="22"/>
      <c r="C230" s="22"/>
      <c r="D230" s="22"/>
      <c r="E230" s="23" t="s">
        <v>273</v>
      </c>
      <c r="F230" s="25" t="s">
        <v>274</v>
      </c>
      <c r="G230" s="25" t="s">
        <v>275</v>
      </c>
      <c r="H230" s="25" t="s">
        <v>276</v>
      </c>
      <c r="I230" s="25" t="s">
        <v>277</v>
      </c>
      <c r="J230" s="25" t="s">
        <v>278</v>
      </c>
      <c r="K230" s="25" t="s">
        <v>279</v>
      </c>
      <c r="L230" s="22"/>
      <c r="M230" s="22"/>
    </row>
    <row r="231" spans="1:13" ht="15.2" customHeight="1" thickBot="1">
      <c r="A231" s="22"/>
      <c r="B231" s="22"/>
      <c r="C231" s="22"/>
      <c r="D231" s="26"/>
      <c r="E231" s="27" t="s">
        <v>280</v>
      </c>
      <c r="F231" s="28"/>
      <c r="G231" s="29">
        <v>103.96</v>
      </c>
      <c r="H231" s="29">
        <v>0.4</v>
      </c>
      <c r="I231" s="29">
        <v>1</v>
      </c>
      <c r="J231" s="31">
        <f>ROUND(G231*H231*I231,3)</f>
        <v>41.584000000000003</v>
      </c>
      <c r="K231" s="32"/>
      <c r="L231" s="22"/>
      <c r="M231" s="22"/>
    </row>
    <row r="232" spans="1:13" ht="15.2" customHeight="1" thickBot="1">
      <c r="A232" s="22"/>
      <c r="B232" s="22"/>
      <c r="C232" s="22"/>
      <c r="D232" s="26"/>
      <c r="E232" s="5" t="s">
        <v>281</v>
      </c>
      <c r="F232" s="3"/>
      <c r="G232" s="20">
        <v>7.3</v>
      </c>
      <c r="H232" s="20">
        <v>0.4</v>
      </c>
      <c r="I232" s="20">
        <v>1</v>
      </c>
      <c r="J232" s="30">
        <f>ROUND(G232*H232*I232,3)</f>
        <v>2.92</v>
      </c>
      <c r="K232" s="22"/>
      <c r="L232" s="22"/>
      <c r="M232" s="22"/>
    </row>
    <row r="233" spans="1:13" ht="15.2" customHeight="1" thickBot="1">
      <c r="A233" s="22"/>
      <c r="B233" s="22"/>
      <c r="C233" s="22"/>
      <c r="D233" s="26"/>
      <c r="E233" s="5" t="s">
        <v>282</v>
      </c>
      <c r="F233" s="3"/>
      <c r="G233" s="20">
        <v>25.5</v>
      </c>
      <c r="H233" s="20">
        <v>0.4</v>
      </c>
      <c r="I233" s="20">
        <v>0.8</v>
      </c>
      <c r="J233" s="30">
        <f>ROUND(G233*H233*I233,3)</f>
        <v>8.16</v>
      </c>
      <c r="K233" s="33">
        <f>SUM(J231:J233)</f>
        <v>52.664000000000001</v>
      </c>
      <c r="L233" s="22"/>
      <c r="M233" s="22"/>
    </row>
    <row r="234" spans="1:13" ht="15.2" customHeight="1" thickBot="1">
      <c r="A234" s="22"/>
      <c r="B234" s="22"/>
      <c r="C234" s="22"/>
      <c r="D234" s="22"/>
      <c r="E234" s="23" t="s">
        <v>283</v>
      </c>
      <c r="F234" s="25" t="s">
        <v>284</v>
      </c>
      <c r="G234" s="25" t="s">
        <v>285</v>
      </c>
      <c r="H234" s="25" t="s">
        <v>286</v>
      </c>
      <c r="I234" s="25" t="s">
        <v>287</v>
      </c>
      <c r="J234" s="25" t="s">
        <v>288</v>
      </c>
      <c r="K234" s="25" t="s">
        <v>289</v>
      </c>
      <c r="L234" s="22"/>
      <c r="M234" s="22"/>
    </row>
    <row r="235" spans="1:13" ht="15.2" customHeight="1" thickBot="1">
      <c r="A235" s="22"/>
      <c r="B235" s="22"/>
      <c r="C235" s="22"/>
      <c r="D235" s="26"/>
      <c r="E235" s="27" t="s">
        <v>290</v>
      </c>
      <c r="F235" s="28">
        <v>10</v>
      </c>
      <c r="G235" s="29">
        <v>5</v>
      </c>
      <c r="H235" s="29">
        <v>0.3</v>
      </c>
      <c r="I235" s="29">
        <v>0.5</v>
      </c>
      <c r="J235" s="31">
        <f>ROUND(F235*G235*H235*I235,3)</f>
        <v>7.5</v>
      </c>
      <c r="K235" s="41">
        <f>SUM(J235:J235)</f>
        <v>7.5</v>
      </c>
      <c r="L235" s="22"/>
      <c r="M235" s="22"/>
    </row>
    <row r="236" spans="1:13" ht="15.2" customHeight="1" thickBot="1">
      <c r="A236" s="22"/>
      <c r="B236" s="22"/>
      <c r="C236" s="22"/>
      <c r="D236" s="22"/>
      <c r="E236" s="23" t="s">
        <v>291</v>
      </c>
      <c r="F236" s="25" t="s">
        <v>292</v>
      </c>
      <c r="G236" s="25" t="s">
        <v>293</v>
      </c>
      <c r="H236" s="25" t="s">
        <v>294</v>
      </c>
      <c r="I236" s="25" t="s">
        <v>295</v>
      </c>
      <c r="J236" s="25" t="s">
        <v>296</v>
      </c>
      <c r="K236" s="25" t="s">
        <v>297</v>
      </c>
      <c r="L236" s="22"/>
      <c r="M236" s="22"/>
    </row>
    <row r="237" spans="1:13" ht="15.2" customHeight="1" thickBot="1">
      <c r="A237" s="22"/>
      <c r="B237" s="22"/>
      <c r="C237" s="22"/>
      <c r="D237" s="26"/>
      <c r="E237" s="27" t="s">
        <v>298</v>
      </c>
      <c r="F237" s="28"/>
      <c r="G237" s="29">
        <v>98.7</v>
      </c>
      <c r="H237" s="29">
        <v>0.4</v>
      </c>
      <c r="I237" s="29">
        <v>0.8</v>
      </c>
      <c r="J237" s="31">
        <f>ROUND(G237*H237*I237,3)</f>
        <v>31.584</v>
      </c>
      <c r="K237" s="32"/>
      <c r="L237" s="22"/>
      <c r="M237" s="22"/>
    </row>
    <row r="238" spans="1:13" ht="15.2" customHeight="1" thickBot="1">
      <c r="A238" s="22"/>
      <c r="B238" s="22"/>
      <c r="C238" s="22"/>
      <c r="D238" s="26"/>
      <c r="E238" s="5" t="s">
        <v>299</v>
      </c>
      <c r="F238" s="3"/>
      <c r="G238" s="20">
        <v>35.54</v>
      </c>
      <c r="H238" s="20">
        <v>0.4</v>
      </c>
      <c r="I238" s="20">
        <v>0.8</v>
      </c>
      <c r="J238" s="30">
        <f>ROUND(G238*H238*I238,3)</f>
        <v>11.372999999999999</v>
      </c>
      <c r="K238" s="22"/>
      <c r="L238" s="22"/>
      <c r="M238" s="22"/>
    </row>
    <row r="239" spans="1:13" ht="21.4" customHeight="1" thickBot="1">
      <c r="A239" s="22"/>
      <c r="B239" s="22"/>
      <c r="C239" s="22"/>
      <c r="D239" s="26"/>
      <c r="E239" s="5" t="s">
        <v>300</v>
      </c>
      <c r="F239" s="3"/>
      <c r="G239" s="20">
        <v>18.350000000000001</v>
      </c>
      <c r="H239" s="20">
        <v>0.4</v>
      </c>
      <c r="I239" s="20">
        <v>0.5</v>
      </c>
      <c r="J239" s="30">
        <f>ROUND(G239*H239*I239,3)</f>
        <v>3.67</v>
      </c>
      <c r="K239" s="22"/>
      <c r="L239" s="22"/>
      <c r="M239" s="22"/>
    </row>
    <row r="240" spans="1:13" ht="21.4" customHeight="1" thickBot="1">
      <c r="A240" s="22"/>
      <c r="B240" s="22"/>
      <c r="C240" s="22"/>
      <c r="D240" s="26"/>
      <c r="E240" s="5" t="s">
        <v>301</v>
      </c>
      <c r="F240" s="3"/>
      <c r="G240" s="20">
        <v>12.8</v>
      </c>
      <c r="H240" s="20">
        <v>0.3</v>
      </c>
      <c r="I240" s="20">
        <v>0.5</v>
      </c>
      <c r="J240" s="30">
        <f>ROUND(G240*H240*I240,3)</f>
        <v>1.92</v>
      </c>
      <c r="K240" s="22"/>
      <c r="L240" s="22"/>
      <c r="M240" s="22"/>
    </row>
    <row r="241" spans="1:13" ht="21.4" customHeight="1" thickBot="1">
      <c r="A241" s="22"/>
      <c r="B241" s="22"/>
      <c r="C241" s="22"/>
      <c r="D241" s="26"/>
      <c r="E241" s="5" t="s">
        <v>302</v>
      </c>
      <c r="F241" s="3"/>
      <c r="G241" s="20">
        <v>25</v>
      </c>
      <c r="H241" s="20">
        <v>0.3</v>
      </c>
      <c r="I241" s="20">
        <v>0.5</v>
      </c>
      <c r="J241" s="30">
        <f>ROUND(G241*H241*I241,3)</f>
        <v>3.75</v>
      </c>
      <c r="K241" s="33">
        <f>SUM(J237:J241)</f>
        <v>52.297000000000004</v>
      </c>
      <c r="L241" s="22"/>
      <c r="M241" s="22"/>
    </row>
    <row r="242" spans="1:13" ht="39.75" customHeight="1" thickBot="1">
      <c r="A242" s="10" t="s">
        <v>303</v>
      </c>
      <c r="B242" s="5" t="s">
        <v>304</v>
      </c>
      <c r="C242" s="5" t="s">
        <v>305</v>
      </c>
      <c r="D242" s="59" t="s">
        <v>306</v>
      </c>
      <c r="E242" s="59"/>
      <c r="F242" s="59"/>
      <c r="G242" s="59"/>
      <c r="H242" s="59"/>
      <c r="I242" s="59"/>
      <c r="J242" s="59"/>
      <c r="K242" s="20">
        <f>SUM(K244:K245)</f>
        <v>148</v>
      </c>
      <c r="L242" s="21">
        <f>ROUND(22.62*(1+M2/100),2)</f>
        <v>23.07</v>
      </c>
      <c r="M242" s="21">
        <f>ROUND(K242*L242,2)</f>
        <v>3414.36</v>
      </c>
    </row>
    <row r="243" spans="1:13" ht="15.2" customHeight="1" thickBot="1">
      <c r="A243" s="22"/>
      <c r="B243" s="22"/>
      <c r="C243" s="22"/>
      <c r="D243" s="22"/>
      <c r="E243" s="23"/>
      <c r="F243" s="25" t="s">
        <v>307</v>
      </c>
      <c r="G243" s="25" t="s">
        <v>308</v>
      </c>
      <c r="H243" s="25" t="s">
        <v>309</v>
      </c>
      <c r="I243" s="25" t="s">
        <v>310</v>
      </c>
      <c r="J243" s="25" t="s">
        <v>311</v>
      </c>
      <c r="K243" s="25" t="s">
        <v>312</v>
      </c>
      <c r="L243" s="22"/>
      <c r="M243" s="22"/>
    </row>
    <row r="244" spans="1:13" ht="21.4" customHeight="1" thickBot="1">
      <c r="A244" s="22"/>
      <c r="B244" s="22"/>
      <c r="C244" s="22"/>
      <c r="D244" s="26"/>
      <c r="E244" s="27" t="s">
        <v>313</v>
      </c>
      <c r="F244" s="28"/>
      <c r="G244" s="29">
        <v>1280</v>
      </c>
      <c r="H244" s="29"/>
      <c r="I244" s="29">
        <v>0.1</v>
      </c>
      <c r="J244" s="31">
        <f>ROUND(G244*I244,3)</f>
        <v>128</v>
      </c>
      <c r="K244" s="32"/>
      <c r="L244" s="22"/>
      <c r="M244" s="22"/>
    </row>
    <row r="245" spans="1:13" ht="15.2" customHeight="1" thickBot="1">
      <c r="A245" s="22"/>
      <c r="B245" s="22"/>
      <c r="C245" s="22"/>
      <c r="D245" s="26"/>
      <c r="E245" s="5" t="s">
        <v>314</v>
      </c>
      <c r="F245" s="3"/>
      <c r="G245" s="20">
        <v>20</v>
      </c>
      <c r="H245" s="20"/>
      <c r="I245" s="20"/>
      <c r="J245" s="30">
        <f>ROUND(G245,3)</f>
        <v>20</v>
      </c>
      <c r="K245" s="33">
        <f>SUM(J244:J245)</f>
        <v>148</v>
      </c>
      <c r="L245" s="22"/>
      <c r="M245" s="22"/>
    </row>
    <row r="246" spans="1:13" ht="49.15" customHeight="1" thickBot="1">
      <c r="A246" s="10" t="s">
        <v>315</v>
      </c>
      <c r="B246" s="5" t="s">
        <v>316</v>
      </c>
      <c r="C246" s="5" t="s">
        <v>317</v>
      </c>
      <c r="D246" s="59" t="s">
        <v>318</v>
      </c>
      <c r="E246" s="59"/>
      <c r="F246" s="59"/>
      <c r="G246" s="59"/>
      <c r="H246" s="59"/>
      <c r="I246" s="59"/>
      <c r="J246" s="59"/>
      <c r="K246" s="20">
        <f>SUM(K248:K249)</f>
        <v>111.25999999999999</v>
      </c>
      <c r="L246" s="21">
        <f>ROUND(14.07*(1+M2/100),2)</f>
        <v>14.35</v>
      </c>
      <c r="M246" s="21">
        <f>ROUND(K246*L246,2)</f>
        <v>1596.58</v>
      </c>
    </row>
    <row r="247" spans="1:13" ht="15.2" customHeight="1" thickBot="1">
      <c r="A247" s="22"/>
      <c r="B247" s="22"/>
      <c r="C247" s="22"/>
      <c r="D247" s="22"/>
      <c r="E247" s="23"/>
      <c r="F247" s="25" t="s">
        <v>319</v>
      </c>
      <c r="G247" s="25" t="s">
        <v>320</v>
      </c>
      <c r="H247" s="25" t="s">
        <v>321</v>
      </c>
      <c r="I247" s="25" t="s">
        <v>322</v>
      </c>
      <c r="J247" s="25" t="s">
        <v>323</v>
      </c>
      <c r="K247" s="25" t="s">
        <v>324</v>
      </c>
      <c r="L247" s="22"/>
      <c r="M247" s="22"/>
    </row>
    <row r="248" spans="1:13" ht="15.2" customHeight="1" thickBot="1">
      <c r="A248" s="22"/>
      <c r="B248" s="22"/>
      <c r="C248" s="22"/>
      <c r="D248" s="26"/>
      <c r="E248" s="27" t="s">
        <v>325</v>
      </c>
      <c r="F248" s="28"/>
      <c r="G248" s="29">
        <v>103.96</v>
      </c>
      <c r="H248" s="29"/>
      <c r="I248" s="29"/>
      <c r="J248" s="31">
        <f>ROUND(G248,3)</f>
        <v>103.96</v>
      </c>
      <c r="K248" s="32"/>
      <c r="L248" s="22"/>
      <c r="M248" s="22"/>
    </row>
    <row r="249" spans="1:13" ht="15.2" customHeight="1" thickBot="1">
      <c r="A249" s="22"/>
      <c r="B249" s="22"/>
      <c r="C249" s="22"/>
      <c r="D249" s="26"/>
      <c r="E249" s="5" t="s">
        <v>326</v>
      </c>
      <c r="F249" s="3"/>
      <c r="G249" s="20">
        <v>7.3</v>
      </c>
      <c r="H249" s="20"/>
      <c r="I249" s="20"/>
      <c r="J249" s="30">
        <f>ROUND(G249,3)</f>
        <v>7.3</v>
      </c>
      <c r="K249" s="33">
        <f>SUM(J248:J249)</f>
        <v>111.25999999999999</v>
      </c>
      <c r="L249" s="22"/>
      <c r="M249" s="22"/>
    </row>
    <row r="250" spans="1:13" ht="49.15" customHeight="1" thickBot="1">
      <c r="A250" s="10" t="s">
        <v>327</v>
      </c>
      <c r="B250" s="5" t="s">
        <v>328</v>
      </c>
      <c r="C250" s="5" t="s">
        <v>329</v>
      </c>
      <c r="D250" s="59" t="s">
        <v>330</v>
      </c>
      <c r="E250" s="59"/>
      <c r="F250" s="59"/>
      <c r="G250" s="59"/>
      <c r="H250" s="59"/>
      <c r="I250" s="59"/>
      <c r="J250" s="59"/>
      <c r="K250" s="20">
        <f>SUM(K252:K252)</f>
        <v>25.5</v>
      </c>
      <c r="L250" s="21">
        <f>ROUND(6.15*(1+M2/100),2)</f>
        <v>6.27</v>
      </c>
      <c r="M250" s="21">
        <f>ROUND(K250*L250,2)</f>
        <v>159.88999999999999</v>
      </c>
    </row>
    <row r="251" spans="1:13" ht="15.2" customHeight="1" thickBot="1">
      <c r="A251" s="22"/>
      <c r="B251" s="22"/>
      <c r="C251" s="22"/>
      <c r="D251" s="22"/>
      <c r="E251" s="23"/>
      <c r="F251" s="25" t="s">
        <v>331</v>
      </c>
      <c r="G251" s="25" t="s">
        <v>332</v>
      </c>
      <c r="H251" s="25" t="s">
        <v>333</v>
      </c>
      <c r="I251" s="25" t="s">
        <v>334</v>
      </c>
      <c r="J251" s="25" t="s">
        <v>335</v>
      </c>
      <c r="K251" s="25" t="s">
        <v>336</v>
      </c>
      <c r="L251" s="22"/>
      <c r="M251" s="22"/>
    </row>
    <row r="252" spans="1:13" ht="15.2" customHeight="1" thickBot="1">
      <c r="A252" s="22"/>
      <c r="B252" s="22"/>
      <c r="C252" s="22"/>
      <c r="D252" s="26"/>
      <c r="E252" s="27" t="s">
        <v>337</v>
      </c>
      <c r="F252" s="28"/>
      <c r="G252" s="29">
        <v>25.5</v>
      </c>
      <c r="H252" s="29"/>
      <c r="I252" s="29"/>
      <c r="J252" s="31">
        <f>ROUND(G252,3)</f>
        <v>25.5</v>
      </c>
      <c r="K252" s="41">
        <f>SUM(J252:J252)</f>
        <v>25.5</v>
      </c>
      <c r="L252" s="22"/>
      <c r="M252" s="22"/>
    </row>
    <row r="253" spans="1:13" ht="39.75" customHeight="1" thickBot="1">
      <c r="A253" s="10" t="s">
        <v>338</v>
      </c>
      <c r="B253" s="5" t="s">
        <v>339</v>
      </c>
      <c r="C253" s="5" t="s">
        <v>340</v>
      </c>
      <c r="D253" s="59" t="s">
        <v>341</v>
      </c>
      <c r="E253" s="59"/>
      <c r="F253" s="59"/>
      <c r="G253" s="59"/>
      <c r="H253" s="59"/>
      <c r="I253" s="59"/>
      <c r="J253" s="59"/>
      <c r="K253" s="20">
        <f>ROUND(7,2)</f>
        <v>7</v>
      </c>
      <c r="L253" s="21">
        <f>ROUND(189.15*(1+M2/100),2)</f>
        <v>192.93</v>
      </c>
      <c r="M253" s="21">
        <f>ROUND(K253*L253,2)</f>
        <v>1350.51</v>
      </c>
    </row>
    <row r="254" spans="1:13" ht="49.15" customHeight="1" thickBot="1">
      <c r="A254" s="10" t="s">
        <v>342</v>
      </c>
      <c r="B254" s="5" t="s">
        <v>343</v>
      </c>
      <c r="C254" s="5" t="s">
        <v>344</v>
      </c>
      <c r="D254" s="59" t="s">
        <v>345</v>
      </c>
      <c r="E254" s="59"/>
      <c r="F254" s="59"/>
      <c r="G254" s="59"/>
      <c r="H254" s="59"/>
      <c r="I254" s="59"/>
      <c r="J254" s="59"/>
      <c r="K254" s="20">
        <f>SUM(K256:K257)</f>
        <v>134.24</v>
      </c>
      <c r="L254" s="21">
        <f>ROUND(8.15*(1+M2/100),2)</f>
        <v>8.31</v>
      </c>
      <c r="M254" s="21">
        <f>ROUND(K254*L254,2)</f>
        <v>1115.53</v>
      </c>
    </row>
    <row r="255" spans="1:13" ht="15.2" customHeight="1" thickBot="1">
      <c r="A255" s="22"/>
      <c r="B255" s="22"/>
      <c r="C255" s="22"/>
      <c r="D255" s="22"/>
      <c r="E255" s="23"/>
      <c r="F255" s="25" t="s">
        <v>346</v>
      </c>
      <c r="G255" s="25" t="s">
        <v>347</v>
      </c>
      <c r="H255" s="25" t="s">
        <v>348</v>
      </c>
      <c r="I255" s="25" t="s">
        <v>349</v>
      </c>
      <c r="J255" s="25" t="s">
        <v>350</v>
      </c>
      <c r="K255" s="25" t="s">
        <v>351</v>
      </c>
      <c r="L255" s="22"/>
      <c r="M255" s="22"/>
    </row>
    <row r="256" spans="1:13" ht="15.2" customHeight="1" thickBot="1">
      <c r="A256" s="22"/>
      <c r="B256" s="22"/>
      <c r="C256" s="22"/>
      <c r="D256" s="26"/>
      <c r="E256" s="27" t="s">
        <v>352</v>
      </c>
      <c r="F256" s="28"/>
      <c r="G256" s="29">
        <v>98.7</v>
      </c>
      <c r="H256" s="29"/>
      <c r="I256" s="29"/>
      <c r="J256" s="31">
        <f>ROUND(G256,3)</f>
        <v>98.7</v>
      </c>
      <c r="K256" s="32"/>
      <c r="L256" s="22"/>
      <c r="M256" s="22"/>
    </row>
    <row r="257" spans="1:13" ht="15.2" customHeight="1" thickBot="1">
      <c r="A257" s="22"/>
      <c r="B257" s="22"/>
      <c r="C257" s="22"/>
      <c r="D257" s="26"/>
      <c r="E257" s="5" t="s">
        <v>353</v>
      </c>
      <c r="F257" s="3"/>
      <c r="G257" s="20">
        <v>35.54</v>
      </c>
      <c r="H257" s="20"/>
      <c r="I257" s="20"/>
      <c r="J257" s="30">
        <f>ROUND(G257,3)</f>
        <v>35.54</v>
      </c>
      <c r="K257" s="33">
        <f>SUM(J256:J257)</f>
        <v>134.24</v>
      </c>
      <c r="L257" s="22"/>
      <c r="M257" s="22"/>
    </row>
    <row r="258" spans="1:13" ht="39.75" customHeight="1" thickBot="1">
      <c r="A258" s="10" t="s">
        <v>354</v>
      </c>
      <c r="B258" s="5" t="s">
        <v>355</v>
      </c>
      <c r="C258" s="5" t="s">
        <v>356</v>
      </c>
      <c r="D258" s="59" t="s">
        <v>357</v>
      </c>
      <c r="E258" s="59"/>
      <c r="F258" s="59"/>
      <c r="G258" s="59"/>
      <c r="H258" s="59"/>
      <c r="I258" s="59"/>
      <c r="J258" s="59"/>
      <c r="K258" s="20">
        <f>SUM(K260:K262)</f>
        <v>56.150000000000006</v>
      </c>
      <c r="L258" s="21">
        <f>ROUND(5.6*(1+M2/100),2)</f>
        <v>5.71</v>
      </c>
      <c r="M258" s="21">
        <f>ROUND(K258*L258,2)</f>
        <v>320.62</v>
      </c>
    </row>
    <row r="259" spans="1:13" ht="15.2" customHeight="1" thickBot="1">
      <c r="A259" s="22"/>
      <c r="B259" s="22"/>
      <c r="C259" s="22"/>
      <c r="D259" s="22"/>
      <c r="E259" s="23"/>
      <c r="F259" s="25" t="s">
        <v>358</v>
      </c>
      <c r="G259" s="25" t="s">
        <v>359</v>
      </c>
      <c r="H259" s="25" t="s">
        <v>360</v>
      </c>
      <c r="I259" s="25" t="s">
        <v>361</v>
      </c>
      <c r="J259" s="25" t="s">
        <v>362</v>
      </c>
      <c r="K259" s="25" t="s">
        <v>363</v>
      </c>
      <c r="L259" s="22"/>
      <c r="M259" s="22"/>
    </row>
    <row r="260" spans="1:13" ht="21.4" customHeight="1" thickBot="1">
      <c r="A260" s="22"/>
      <c r="B260" s="22"/>
      <c r="C260" s="22"/>
      <c r="D260" s="26"/>
      <c r="E260" s="27" t="s">
        <v>364</v>
      </c>
      <c r="F260" s="28"/>
      <c r="G260" s="29">
        <v>18.350000000000001</v>
      </c>
      <c r="H260" s="29"/>
      <c r="I260" s="29"/>
      <c r="J260" s="31">
        <f>ROUND(G260,3)</f>
        <v>18.350000000000001</v>
      </c>
      <c r="K260" s="32"/>
      <c r="L260" s="22"/>
      <c r="M260" s="22"/>
    </row>
    <row r="261" spans="1:13" ht="21.4" customHeight="1" thickBot="1">
      <c r="A261" s="22"/>
      <c r="B261" s="22"/>
      <c r="C261" s="22"/>
      <c r="D261" s="26"/>
      <c r="E261" s="5" t="s">
        <v>365</v>
      </c>
      <c r="F261" s="3"/>
      <c r="G261" s="20">
        <v>12.8</v>
      </c>
      <c r="H261" s="20"/>
      <c r="I261" s="20"/>
      <c r="J261" s="30">
        <f>ROUND(G261,3)</f>
        <v>12.8</v>
      </c>
      <c r="K261" s="22"/>
      <c r="L261" s="22"/>
      <c r="M261" s="22"/>
    </row>
    <row r="262" spans="1:13" ht="21.4" customHeight="1" thickBot="1">
      <c r="A262" s="22"/>
      <c r="B262" s="22"/>
      <c r="C262" s="22"/>
      <c r="D262" s="26"/>
      <c r="E262" s="5" t="s">
        <v>366</v>
      </c>
      <c r="F262" s="3"/>
      <c r="G262" s="20">
        <v>25</v>
      </c>
      <c r="H262" s="20"/>
      <c r="I262" s="20"/>
      <c r="J262" s="30">
        <f>ROUND(G262,3)</f>
        <v>25</v>
      </c>
      <c r="K262" s="33">
        <f>SUM(J260:J262)</f>
        <v>56.150000000000006</v>
      </c>
      <c r="L262" s="22"/>
      <c r="M262" s="22"/>
    </row>
    <row r="263" spans="1:13" ht="39.75" customHeight="1" thickBot="1">
      <c r="A263" s="10" t="s">
        <v>367</v>
      </c>
      <c r="B263" s="5" t="s">
        <v>368</v>
      </c>
      <c r="C263" s="5" t="s">
        <v>369</v>
      </c>
      <c r="D263" s="59" t="s">
        <v>370</v>
      </c>
      <c r="E263" s="59"/>
      <c r="F263" s="59"/>
      <c r="G263" s="59"/>
      <c r="H263" s="59"/>
      <c r="I263" s="59"/>
      <c r="J263" s="59"/>
      <c r="K263" s="20">
        <f>ROUND(9,2)</f>
        <v>9</v>
      </c>
      <c r="L263" s="21">
        <f>ROUND(38.78*(1+M2/100),2)</f>
        <v>39.56</v>
      </c>
      <c r="M263" s="21">
        <f>ROUND(K263*L263,2)</f>
        <v>356.04</v>
      </c>
    </row>
    <row r="264" spans="1:13" ht="21.4" customHeight="1" thickBot="1">
      <c r="A264" s="10" t="s">
        <v>371</v>
      </c>
      <c r="B264" s="5" t="s">
        <v>372</v>
      </c>
      <c r="C264" s="5" t="s">
        <v>373</v>
      </c>
      <c r="D264" s="59" t="s">
        <v>374</v>
      </c>
      <c r="E264" s="59"/>
      <c r="F264" s="59"/>
      <c r="G264" s="59"/>
      <c r="H264" s="59"/>
      <c r="I264" s="59"/>
      <c r="J264" s="59"/>
      <c r="K264" s="20">
        <f>SUM(K266:K267)</f>
        <v>6</v>
      </c>
      <c r="L264" s="21">
        <f>ROUND(30.025*(1+M2/100),2)</f>
        <v>30.63</v>
      </c>
      <c r="M264" s="21">
        <f>ROUND(K264*L264,2)</f>
        <v>183.78</v>
      </c>
    </row>
    <row r="265" spans="1:13" ht="15.2" customHeight="1" thickBot="1">
      <c r="A265" s="22"/>
      <c r="B265" s="22"/>
      <c r="C265" s="22"/>
      <c r="D265" s="22"/>
      <c r="E265" s="23"/>
      <c r="F265" s="25" t="s">
        <v>375</v>
      </c>
      <c r="G265" s="25" t="s">
        <v>376</v>
      </c>
      <c r="H265" s="25" t="s">
        <v>377</v>
      </c>
      <c r="I265" s="25" t="s">
        <v>378</v>
      </c>
      <c r="J265" s="25" t="s">
        <v>379</v>
      </c>
      <c r="K265" s="25" t="s">
        <v>380</v>
      </c>
      <c r="L265" s="22"/>
      <c r="M265" s="22"/>
    </row>
    <row r="266" spans="1:13" ht="15.2" customHeight="1" thickBot="1">
      <c r="A266" s="22"/>
      <c r="B266" s="22"/>
      <c r="C266" s="22"/>
      <c r="D266" s="26"/>
      <c r="E266" s="27" t="s">
        <v>381</v>
      </c>
      <c r="F266" s="28">
        <v>3</v>
      </c>
      <c r="G266" s="29"/>
      <c r="H266" s="29"/>
      <c r="I266" s="29"/>
      <c r="J266" s="31">
        <f>ROUND(F266,3)</f>
        <v>3</v>
      </c>
      <c r="K266" s="32"/>
      <c r="L266" s="22"/>
      <c r="M266" s="22"/>
    </row>
    <row r="267" spans="1:13" ht="15.2" customHeight="1" thickBot="1">
      <c r="A267" s="22"/>
      <c r="B267" s="22"/>
      <c r="C267" s="22"/>
      <c r="D267" s="26"/>
      <c r="E267" s="5" t="s">
        <v>382</v>
      </c>
      <c r="F267" s="3">
        <v>3</v>
      </c>
      <c r="G267" s="20"/>
      <c r="H267" s="20"/>
      <c r="I267" s="20"/>
      <c r="J267" s="30">
        <f>ROUND(F267,3)</f>
        <v>3</v>
      </c>
      <c r="K267" s="33">
        <f>SUM(J266:J267)</f>
        <v>6</v>
      </c>
      <c r="L267" s="22"/>
      <c r="M267" s="22"/>
    </row>
    <row r="268" spans="1:13" ht="39.75" customHeight="1" thickBot="1">
      <c r="A268" s="10" t="s">
        <v>383</v>
      </c>
      <c r="B268" s="5" t="s">
        <v>384</v>
      </c>
      <c r="C268" s="5" t="s">
        <v>385</v>
      </c>
      <c r="D268" s="59" t="s">
        <v>386</v>
      </c>
      <c r="E268" s="59"/>
      <c r="F268" s="59"/>
      <c r="G268" s="59"/>
      <c r="H268" s="59"/>
      <c r="I268" s="59"/>
      <c r="J268" s="59"/>
      <c r="K268" s="20">
        <f>SUM(K270:K279)</f>
        <v>71.536000000000001</v>
      </c>
      <c r="L268" s="21">
        <f>ROUND(6.29*(1+M2/100),2)</f>
        <v>6.42</v>
      </c>
      <c r="M268" s="21">
        <f>ROUND(K268*L268,2)</f>
        <v>459.26</v>
      </c>
    </row>
    <row r="269" spans="1:13" ht="15.2" customHeight="1" thickBot="1">
      <c r="A269" s="22"/>
      <c r="B269" s="22"/>
      <c r="C269" s="22"/>
      <c r="D269" s="22"/>
      <c r="E269" s="23"/>
      <c r="F269" s="25" t="s">
        <v>387</v>
      </c>
      <c r="G269" s="25" t="s">
        <v>388</v>
      </c>
      <c r="H269" s="25" t="s">
        <v>389</v>
      </c>
      <c r="I269" s="25" t="s">
        <v>390</v>
      </c>
      <c r="J269" s="25" t="s">
        <v>391</v>
      </c>
      <c r="K269" s="25" t="s">
        <v>392</v>
      </c>
      <c r="L269" s="22"/>
      <c r="M269" s="22"/>
    </row>
    <row r="270" spans="1:13" ht="15.2" customHeight="1" thickBot="1">
      <c r="A270" s="22"/>
      <c r="B270" s="22"/>
      <c r="C270" s="22"/>
      <c r="D270" s="26"/>
      <c r="E270" s="27" t="s">
        <v>393</v>
      </c>
      <c r="F270" s="28"/>
      <c r="G270" s="29">
        <v>103.96</v>
      </c>
      <c r="H270" s="29">
        <v>0.4</v>
      </c>
      <c r="I270" s="29">
        <v>0.8</v>
      </c>
      <c r="J270" s="31">
        <f>ROUND(G270*H270*I270,3)</f>
        <v>33.267000000000003</v>
      </c>
      <c r="K270" s="32"/>
      <c r="L270" s="22"/>
      <c r="M270" s="22"/>
    </row>
    <row r="271" spans="1:13" ht="15.2" customHeight="1" thickBot="1">
      <c r="A271" s="22"/>
      <c r="B271" s="22"/>
      <c r="C271" s="22"/>
      <c r="D271" s="26"/>
      <c r="E271" s="5" t="s">
        <v>394</v>
      </c>
      <c r="F271" s="3"/>
      <c r="G271" s="20">
        <v>7.3</v>
      </c>
      <c r="H271" s="20">
        <v>0.4</v>
      </c>
      <c r="I271" s="20">
        <v>0.8</v>
      </c>
      <c r="J271" s="30">
        <f>ROUND(G271*H271*I271,3)</f>
        <v>2.3359999999999999</v>
      </c>
      <c r="K271" s="22"/>
      <c r="L271" s="22"/>
      <c r="M271" s="22"/>
    </row>
    <row r="272" spans="1:13" ht="15.2" customHeight="1" thickBot="1">
      <c r="A272" s="22"/>
      <c r="B272" s="22"/>
      <c r="C272" s="22"/>
      <c r="D272" s="26"/>
      <c r="E272" s="5" t="s">
        <v>395</v>
      </c>
      <c r="F272" s="3"/>
      <c r="G272" s="20">
        <v>25.5</v>
      </c>
      <c r="H272" s="20">
        <v>0.4</v>
      </c>
      <c r="I272" s="20">
        <v>0.6</v>
      </c>
      <c r="J272" s="30">
        <f>ROUND(G272*H272*I272,3)</f>
        <v>6.12</v>
      </c>
      <c r="K272" s="22"/>
      <c r="L272" s="22"/>
      <c r="M272" s="22"/>
    </row>
    <row r="273" spans="1:13" ht="15.2" customHeight="1" thickBot="1">
      <c r="A273" s="22"/>
      <c r="B273" s="22"/>
      <c r="C273" s="22"/>
      <c r="D273" s="26"/>
      <c r="E273" s="5" t="s">
        <v>396</v>
      </c>
      <c r="F273" s="3">
        <v>10</v>
      </c>
      <c r="G273" s="20">
        <v>5</v>
      </c>
      <c r="H273" s="20">
        <v>0.3</v>
      </c>
      <c r="I273" s="20">
        <v>0.3</v>
      </c>
      <c r="J273" s="30">
        <f>ROUND(F273*G273*H273*I273,3)</f>
        <v>4.5</v>
      </c>
      <c r="K273" s="22"/>
      <c r="L273" s="22"/>
      <c r="M273" s="22"/>
    </row>
    <row r="274" spans="1:13" ht="15.2" customHeight="1" thickBot="1">
      <c r="A274" s="22"/>
      <c r="B274" s="22"/>
      <c r="C274" s="22"/>
      <c r="D274" s="26"/>
      <c r="E274" s="5" t="s">
        <v>397</v>
      </c>
      <c r="F274" s="3"/>
      <c r="G274" s="20">
        <v>20</v>
      </c>
      <c r="H274" s="20">
        <v>0.6</v>
      </c>
      <c r="I274" s="20">
        <v>0.3</v>
      </c>
      <c r="J274" s="30">
        <f t="shared" ref="J274:J279" si="7">ROUND(G274*H274*I274,3)</f>
        <v>3.6</v>
      </c>
      <c r="K274" s="22"/>
      <c r="L274" s="22"/>
      <c r="M274" s="22"/>
    </row>
    <row r="275" spans="1:13" ht="15.2" customHeight="1" thickBot="1">
      <c r="A275" s="22"/>
      <c r="B275" s="22"/>
      <c r="C275" s="22"/>
      <c r="D275" s="26"/>
      <c r="E275" s="5" t="s">
        <v>398</v>
      </c>
      <c r="F275" s="3"/>
      <c r="G275" s="20">
        <v>98.7</v>
      </c>
      <c r="H275" s="20">
        <v>0.4</v>
      </c>
      <c r="I275" s="20">
        <v>0.3</v>
      </c>
      <c r="J275" s="30">
        <f t="shared" si="7"/>
        <v>11.843999999999999</v>
      </c>
      <c r="K275" s="22"/>
      <c r="L275" s="22"/>
      <c r="M275" s="22"/>
    </row>
    <row r="276" spans="1:13" ht="15.2" customHeight="1" thickBot="1">
      <c r="A276" s="22"/>
      <c r="B276" s="22"/>
      <c r="C276" s="22"/>
      <c r="D276" s="26"/>
      <c r="E276" s="5" t="s">
        <v>399</v>
      </c>
      <c r="F276" s="3"/>
      <c r="G276" s="20">
        <v>35.54</v>
      </c>
      <c r="H276" s="20">
        <v>0.4</v>
      </c>
      <c r="I276" s="20">
        <v>0.3</v>
      </c>
      <c r="J276" s="30">
        <f t="shared" si="7"/>
        <v>4.2649999999999997</v>
      </c>
      <c r="K276" s="22"/>
      <c r="L276" s="22"/>
      <c r="M276" s="22"/>
    </row>
    <row r="277" spans="1:13" ht="21.4" customHeight="1" thickBot="1">
      <c r="A277" s="22"/>
      <c r="B277" s="22"/>
      <c r="C277" s="22"/>
      <c r="D277" s="26"/>
      <c r="E277" s="5" t="s">
        <v>400</v>
      </c>
      <c r="F277" s="3"/>
      <c r="G277" s="20">
        <v>18.350000000000001</v>
      </c>
      <c r="H277" s="20">
        <v>0.4</v>
      </c>
      <c r="I277" s="20">
        <v>0.3</v>
      </c>
      <c r="J277" s="30">
        <f t="shared" si="7"/>
        <v>2.202</v>
      </c>
      <c r="K277" s="22"/>
      <c r="L277" s="22"/>
      <c r="M277" s="22"/>
    </row>
    <row r="278" spans="1:13" ht="21.4" customHeight="1" thickBot="1">
      <c r="A278" s="22"/>
      <c r="B278" s="22"/>
      <c r="C278" s="22"/>
      <c r="D278" s="26"/>
      <c r="E278" s="5" t="s">
        <v>401</v>
      </c>
      <c r="F278" s="3"/>
      <c r="G278" s="20">
        <v>12.8</v>
      </c>
      <c r="H278" s="20">
        <v>0.3</v>
      </c>
      <c r="I278" s="20">
        <v>0.3</v>
      </c>
      <c r="J278" s="30">
        <f t="shared" si="7"/>
        <v>1.1519999999999999</v>
      </c>
      <c r="K278" s="22"/>
      <c r="L278" s="22"/>
      <c r="M278" s="22"/>
    </row>
    <row r="279" spans="1:13" ht="21.4" customHeight="1" thickBot="1">
      <c r="A279" s="22"/>
      <c r="B279" s="22"/>
      <c r="C279" s="22"/>
      <c r="D279" s="26"/>
      <c r="E279" s="5" t="s">
        <v>402</v>
      </c>
      <c r="F279" s="3"/>
      <c r="G279" s="20">
        <v>25</v>
      </c>
      <c r="H279" s="20">
        <v>0.3</v>
      </c>
      <c r="I279" s="20">
        <v>0.3</v>
      </c>
      <c r="J279" s="30">
        <f t="shared" si="7"/>
        <v>2.25</v>
      </c>
      <c r="K279" s="33">
        <f>SUM(J270:J279)</f>
        <v>71.536000000000001</v>
      </c>
      <c r="L279" s="22"/>
      <c r="M279" s="22"/>
    </row>
    <row r="280" spans="1:13" ht="21.4" customHeight="1" thickBot="1">
      <c r="A280" s="10" t="s">
        <v>403</v>
      </c>
      <c r="B280" s="5" t="s">
        <v>404</v>
      </c>
      <c r="C280" s="5" t="s">
        <v>405</v>
      </c>
      <c r="D280" s="59" t="s">
        <v>406</v>
      </c>
      <c r="E280" s="59"/>
      <c r="F280" s="59"/>
      <c r="G280" s="59"/>
      <c r="H280" s="59"/>
      <c r="I280" s="59"/>
      <c r="J280" s="59"/>
      <c r="K280" s="20">
        <f>SUM(K282:K283)</f>
        <v>1.9</v>
      </c>
      <c r="L280" s="21">
        <f>ROUND(64.75*(1+M2/100),2)</f>
        <v>66.05</v>
      </c>
      <c r="M280" s="21">
        <f>ROUND(K280*L280,2)</f>
        <v>125.5</v>
      </c>
    </row>
    <row r="281" spans="1:13" ht="15.2" customHeight="1" thickBot="1">
      <c r="A281" s="22"/>
      <c r="B281" s="22"/>
      <c r="C281" s="22"/>
      <c r="D281" s="22"/>
      <c r="E281" s="23"/>
      <c r="F281" s="25" t="s">
        <v>407</v>
      </c>
      <c r="G281" s="25" t="s">
        <v>408</v>
      </c>
      <c r="H281" s="25" t="s">
        <v>409</v>
      </c>
      <c r="I281" s="25" t="s">
        <v>410</v>
      </c>
      <c r="J281" s="25" t="s">
        <v>411</v>
      </c>
      <c r="K281" s="25" t="s">
        <v>412</v>
      </c>
      <c r="L281" s="22"/>
      <c r="M281" s="22"/>
    </row>
    <row r="282" spans="1:13" ht="15.2" customHeight="1" thickBot="1">
      <c r="A282" s="22"/>
      <c r="B282" s="22"/>
      <c r="C282" s="22"/>
      <c r="D282" s="26"/>
      <c r="E282" s="27" t="s">
        <v>413</v>
      </c>
      <c r="F282" s="28"/>
      <c r="G282" s="29">
        <v>9.5</v>
      </c>
      <c r="H282" s="29"/>
      <c r="I282" s="29">
        <v>0.2</v>
      </c>
      <c r="J282" s="31">
        <f>ROUND(G282*I282,3)</f>
        <v>1.9</v>
      </c>
      <c r="K282" s="32"/>
      <c r="L282" s="22"/>
      <c r="M282" s="22"/>
    </row>
    <row r="283" spans="1:13" ht="15.2" customHeight="1" thickBot="1">
      <c r="A283" s="22"/>
      <c r="B283" s="22"/>
      <c r="C283" s="22"/>
      <c r="D283" s="26"/>
      <c r="E283" s="5" t="s">
        <v>414</v>
      </c>
      <c r="F283" s="3"/>
      <c r="G283" s="20"/>
      <c r="H283" s="20"/>
      <c r="I283" s="20"/>
      <c r="J283" s="24" t="s">
        <v>415</v>
      </c>
      <c r="K283" s="33">
        <f>SUM(J282:J283)</f>
        <v>1.9</v>
      </c>
      <c r="L283" s="22"/>
      <c r="M283" s="22"/>
    </row>
    <row r="284" spans="1:13" ht="15.4" customHeight="1" thickBot="1">
      <c r="A284" s="10" t="s">
        <v>416</v>
      </c>
      <c r="B284" s="5" t="s">
        <v>417</v>
      </c>
      <c r="C284" s="5" t="s">
        <v>418</v>
      </c>
      <c r="D284" s="59" t="s">
        <v>419</v>
      </c>
      <c r="E284" s="59"/>
      <c r="F284" s="59"/>
      <c r="G284" s="59"/>
      <c r="H284" s="59"/>
      <c r="I284" s="59"/>
      <c r="J284" s="59"/>
      <c r="K284" s="20">
        <f>ROUND(8,2)</f>
        <v>8</v>
      </c>
      <c r="L284" s="21">
        <f>ROUND(85.33*(1+M2/100),2)</f>
        <v>87.04</v>
      </c>
      <c r="M284" s="21">
        <f>ROUND(K284*L284,2)</f>
        <v>696.32</v>
      </c>
    </row>
    <row r="285" spans="1:13" ht="39.75" customHeight="1" thickBot="1">
      <c r="A285" s="10" t="s">
        <v>420</v>
      </c>
      <c r="B285" s="5" t="s">
        <v>421</v>
      </c>
      <c r="C285" s="5" t="s">
        <v>422</v>
      </c>
      <c r="D285" s="59" t="s">
        <v>423</v>
      </c>
      <c r="E285" s="59"/>
      <c r="F285" s="59"/>
      <c r="G285" s="59"/>
      <c r="H285" s="59"/>
      <c r="I285" s="59"/>
      <c r="J285" s="59"/>
      <c r="K285" s="20">
        <f>ROUND(3,2)</f>
        <v>3</v>
      </c>
      <c r="L285" s="21">
        <f>ROUND(68.97*(1+M2/100),2)</f>
        <v>70.349999999999994</v>
      </c>
      <c r="M285" s="21">
        <f>ROUND(K285*L285,2)</f>
        <v>211.05</v>
      </c>
    </row>
    <row r="286" spans="1:13" ht="30.6" customHeight="1" thickBot="1">
      <c r="A286" s="10" t="s">
        <v>424</v>
      </c>
      <c r="B286" s="5" t="s">
        <v>425</v>
      </c>
      <c r="C286" s="5" t="s">
        <v>426</v>
      </c>
      <c r="D286" s="59" t="s">
        <v>427</v>
      </c>
      <c r="E286" s="59"/>
      <c r="F286" s="59"/>
      <c r="G286" s="59"/>
      <c r="H286" s="59"/>
      <c r="I286" s="59"/>
      <c r="J286" s="59"/>
      <c r="K286" s="20">
        <f>SUM(K288:K289)</f>
        <v>11</v>
      </c>
      <c r="L286" s="21">
        <f>ROUND(27.082*(1+M2/100),2)</f>
        <v>27.62</v>
      </c>
      <c r="M286" s="21">
        <f>ROUND(K286*L286,2)</f>
        <v>303.82</v>
      </c>
    </row>
    <row r="287" spans="1:13" ht="15.2" customHeight="1" thickBot="1">
      <c r="A287" s="22"/>
      <c r="B287" s="22"/>
      <c r="C287" s="22"/>
      <c r="D287" s="22"/>
      <c r="E287" s="23"/>
      <c r="F287" s="25" t="s">
        <v>428</v>
      </c>
      <c r="G287" s="25" t="s">
        <v>429</v>
      </c>
      <c r="H287" s="25" t="s">
        <v>430</v>
      </c>
      <c r="I287" s="25" t="s">
        <v>431</v>
      </c>
      <c r="J287" s="25" t="s">
        <v>432</v>
      </c>
      <c r="K287" s="25" t="s">
        <v>433</v>
      </c>
      <c r="L287" s="22"/>
      <c r="M287" s="22"/>
    </row>
    <row r="288" spans="1:13" ht="15.2" customHeight="1" thickBot="1">
      <c r="A288" s="22"/>
      <c r="B288" s="22"/>
      <c r="C288" s="22"/>
      <c r="D288" s="26"/>
      <c r="E288" s="27" t="s">
        <v>434</v>
      </c>
      <c r="F288" s="28">
        <v>8</v>
      </c>
      <c r="G288" s="29"/>
      <c r="H288" s="29"/>
      <c r="I288" s="29"/>
      <c r="J288" s="31">
        <f>ROUND(F288,3)</f>
        <v>8</v>
      </c>
      <c r="K288" s="32"/>
      <c r="L288" s="22"/>
      <c r="M288" s="22"/>
    </row>
    <row r="289" spans="1:13" ht="15.2" customHeight="1" thickBot="1">
      <c r="A289" s="22"/>
      <c r="B289" s="22"/>
      <c r="C289" s="22"/>
      <c r="D289" s="26"/>
      <c r="E289" s="5" t="s">
        <v>435</v>
      </c>
      <c r="F289" s="3">
        <v>3</v>
      </c>
      <c r="G289" s="20"/>
      <c r="H289" s="20"/>
      <c r="I289" s="20"/>
      <c r="J289" s="30">
        <f>ROUND(F289,3)</f>
        <v>3</v>
      </c>
      <c r="K289" s="33">
        <f>SUM(J288:J289)</f>
        <v>11</v>
      </c>
      <c r="L289" s="22"/>
      <c r="M289" s="22"/>
    </row>
    <row r="290" spans="1:13" ht="30.6" customHeight="1" thickBot="1">
      <c r="A290" s="10" t="s">
        <v>436</v>
      </c>
      <c r="B290" s="5" t="s">
        <v>437</v>
      </c>
      <c r="C290" s="5" t="s">
        <v>438</v>
      </c>
      <c r="D290" s="59" t="s">
        <v>439</v>
      </c>
      <c r="E290" s="59"/>
      <c r="F290" s="59"/>
      <c r="G290" s="59"/>
      <c r="H290" s="59"/>
      <c r="I290" s="59"/>
      <c r="J290" s="59"/>
      <c r="K290" s="20">
        <f>SUM(K292:K294)</f>
        <v>99</v>
      </c>
      <c r="L290" s="21">
        <f>ROUND(14.62*(1+M2/100),2)</f>
        <v>14.91</v>
      </c>
      <c r="M290" s="21">
        <f>ROUND(K290*L290,2)</f>
        <v>1476.09</v>
      </c>
    </row>
    <row r="291" spans="1:13" ht="15.2" customHeight="1" thickBot="1">
      <c r="A291" s="22"/>
      <c r="B291" s="22"/>
      <c r="C291" s="22"/>
      <c r="D291" s="22"/>
      <c r="E291" s="23"/>
      <c r="F291" s="25" t="s">
        <v>440</v>
      </c>
      <c r="G291" s="25" t="s">
        <v>441</v>
      </c>
      <c r="H291" s="25" t="s">
        <v>442</v>
      </c>
      <c r="I291" s="25" t="s">
        <v>443</v>
      </c>
      <c r="J291" s="25" t="s">
        <v>444</v>
      </c>
      <c r="K291" s="25" t="s">
        <v>445</v>
      </c>
      <c r="L291" s="22"/>
      <c r="M291" s="22"/>
    </row>
    <row r="292" spans="1:13" ht="15.2" customHeight="1" thickBot="1">
      <c r="A292" s="22"/>
      <c r="B292" s="22"/>
      <c r="C292" s="22"/>
      <c r="D292" s="26"/>
      <c r="E292" s="27" t="s">
        <v>446</v>
      </c>
      <c r="F292" s="28"/>
      <c r="G292" s="29">
        <v>70</v>
      </c>
      <c r="H292" s="29"/>
      <c r="I292" s="29"/>
      <c r="J292" s="31">
        <f>ROUND(G292,3)</f>
        <v>70</v>
      </c>
      <c r="K292" s="32"/>
      <c r="L292" s="22"/>
      <c r="M292" s="22"/>
    </row>
    <row r="293" spans="1:13" ht="15.2" customHeight="1" thickBot="1">
      <c r="A293" s="22"/>
      <c r="B293" s="22"/>
      <c r="C293" s="22"/>
      <c r="D293" s="26"/>
      <c r="E293" s="5"/>
      <c r="F293" s="3"/>
      <c r="G293" s="20">
        <v>15</v>
      </c>
      <c r="H293" s="20"/>
      <c r="I293" s="20"/>
      <c r="J293" s="30">
        <f>ROUND(G293,3)</f>
        <v>15</v>
      </c>
      <c r="K293" s="22"/>
      <c r="L293" s="22"/>
      <c r="M293" s="22"/>
    </row>
    <row r="294" spans="1:13" ht="15.2" customHeight="1" thickBot="1">
      <c r="A294" s="22"/>
      <c r="B294" s="22"/>
      <c r="C294" s="22"/>
      <c r="D294" s="26"/>
      <c r="E294" s="5" t="s">
        <v>447</v>
      </c>
      <c r="F294" s="3">
        <v>4</v>
      </c>
      <c r="G294" s="20">
        <v>3.5</v>
      </c>
      <c r="H294" s="20"/>
      <c r="I294" s="20"/>
      <c r="J294" s="30">
        <f>ROUND(F294*G294,3)</f>
        <v>14</v>
      </c>
      <c r="K294" s="33">
        <f>SUM(J292:J294)</f>
        <v>99</v>
      </c>
      <c r="L294" s="22"/>
      <c r="M294" s="22"/>
    </row>
    <row r="295" spans="1:13" ht="58.35" customHeight="1" thickBot="1">
      <c r="A295" s="10" t="s">
        <v>448</v>
      </c>
      <c r="B295" s="5" t="s">
        <v>449</v>
      </c>
      <c r="C295" s="5" t="s">
        <v>450</v>
      </c>
      <c r="D295" s="59" t="s">
        <v>451</v>
      </c>
      <c r="E295" s="59"/>
      <c r="F295" s="59"/>
      <c r="G295" s="59"/>
      <c r="H295" s="59"/>
      <c r="I295" s="59"/>
      <c r="J295" s="59"/>
      <c r="K295" s="20">
        <f>ROUND(1,2)</f>
        <v>1</v>
      </c>
      <c r="L295" s="21">
        <f>ROUND(217.94*(1+M2/100),2)</f>
        <v>222.3</v>
      </c>
      <c r="M295" s="21">
        <f>ROUND(K295*L295,2)</f>
        <v>222.3</v>
      </c>
    </row>
    <row r="296" spans="1:13" ht="30.6" customHeight="1" thickBot="1">
      <c r="A296" s="10" t="s">
        <v>452</v>
      </c>
      <c r="B296" s="5" t="s">
        <v>453</v>
      </c>
      <c r="C296" s="5" t="s">
        <v>454</v>
      </c>
      <c r="D296" s="59" t="s">
        <v>455</v>
      </c>
      <c r="E296" s="59"/>
      <c r="F296" s="59"/>
      <c r="G296" s="59"/>
      <c r="H296" s="59"/>
      <c r="I296" s="59"/>
      <c r="J296" s="59"/>
      <c r="K296" s="20">
        <f>ROUND(1,2)</f>
        <v>1</v>
      </c>
      <c r="L296" s="21">
        <f>ROUND(487.43*(1+M2/100),2)</f>
        <v>497.18</v>
      </c>
      <c r="M296" s="21">
        <f>ROUND(K296*L296,2)</f>
        <v>497.18</v>
      </c>
    </row>
    <row r="297" spans="1:13" ht="21.4" customHeight="1" thickBot="1">
      <c r="A297" s="10" t="s">
        <v>456</v>
      </c>
      <c r="B297" s="5" t="s">
        <v>457</v>
      </c>
      <c r="C297" s="5" t="s">
        <v>458</v>
      </c>
      <c r="D297" s="59" t="s">
        <v>459</v>
      </c>
      <c r="E297" s="59"/>
      <c r="F297" s="59"/>
      <c r="G297" s="59"/>
      <c r="H297" s="59"/>
      <c r="I297" s="59"/>
      <c r="J297" s="59"/>
      <c r="K297" s="20">
        <f>ROUND(20,2)</f>
        <v>20</v>
      </c>
      <c r="L297" s="21">
        <f>ROUND(7.68*(1+M2/100),2)</f>
        <v>7.83</v>
      </c>
      <c r="M297" s="21">
        <f>ROUND(K297*L297,2)</f>
        <v>156.6</v>
      </c>
    </row>
    <row r="298" spans="1:13" ht="15.4" customHeight="1" thickBot="1">
      <c r="A298" s="10" t="s">
        <v>460</v>
      </c>
      <c r="B298" s="5" t="s">
        <v>461</v>
      </c>
      <c r="C298" s="5" t="s">
        <v>462</v>
      </c>
      <c r="D298" s="59" t="s">
        <v>463</v>
      </c>
      <c r="E298" s="59"/>
      <c r="F298" s="59"/>
      <c r="G298" s="59"/>
      <c r="H298" s="59"/>
      <c r="I298" s="59"/>
      <c r="J298" s="59"/>
      <c r="K298" s="20">
        <f>ROUND(1,2)</f>
        <v>1</v>
      </c>
      <c r="L298" s="21">
        <f>ROUND(121.39*(1+M2/100),2)</f>
        <v>123.82</v>
      </c>
      <c r="M298" s="21">
        <f>ROUND(K298*L298,2)</f>
        <v>123.82</v>
      </c>
    </row>
    <row r="299" spans="1:13" ht="21.4" customHeight="1" thickBot="1">
      <c r="A299" s="10" t="s">
        <v>464</v>
      </c>
      <c r="B299" s="5" t="s">
        <v>465</v>
      </c>
      <c r="C299" s="5" t="s">
        <v>466</v>
      </c>
      <c r="D299" s="59" t="s">
        <v>467</v>
      </c>
      <c r="E299" s="59"/>
      <c r="F299" s="59"/>
      <c r="G299" s="59"/>
      <c r="H299" s="59"/>
      <c r="I299" s="59"/>
      <c r="J299" s="59"/>
      <c r="K299" s="20">
        <f>ROUND(20,2)</f>
        <v>20</v>
      </c>
      <c r="L299" s="21">
        <f>ROUND(13.83*(1+M2/100),2)</f>
        <v>14.11</v>
      </c>
      <c r="M299" s="21">
        <f>ROUND(K299*L299,2)</f>
        <v>282.2</v>
      </c>
    </row>
    <row r="300" spans="1:13" ht="15.4" customHeight="1" thickBot="1">
      <c r="A300" s="34"/>
      <c r="B300" s="34"/>
      <c r="C300" s="34"/>
      <c r="D300" s="49" t="s">
        <v>468</v>
      </c>
      <c r="E300" s="50"/>
      <c r="F300" s="50"/>
      <c r="G300" s="50"/>
      <c r="H300" s="50"/>
      <c r="I300" s="50"/>
      <c r="J300" s="50"/>
      <c r="K300" s="50"/>
      <c r="L300" s="51">
        <f>M223+M227+M228+M229+M242+M246+M250+M253+M254+M258+M263+M264+M268+M280+M284+M285+M286+M290+M295+M296+M297+M298+M299</f>
        <v>24499.999999999989</v>
      </c>
      <c r="M300" s="51">
        <f>ROUND(L300,2)</f>
        <v>24500</v>
      </c>
    </row>
    <row r="301" spans="1:13" ht="15.4" customHeight="1" thickBot="1">
      <c r="A301" s="46" t="s">
        <v>469</v>
      </c>
      <c r="B301" s="46" t="s">
        <v>470</v>
      </c>
      <c r="C301" s="47"/>
      <c r="D301" s="61" t="s">
        <v>471</v>
      </c>
      <c r="E301" s="61"/>
      <c r="F301" s="61"/>
      <c r="G301" s="61"/>
      <c r="H301" s="61"/>
      <c r="I301" s="61"/>
      <c r="J301" s="61"/>
      <c r="K301" s="47"/>
      <c r="L301" s="48">
        <f>L306</f>
        <v>5700</v>
      </c>
      <c r="M301" s="48">
        <f>ROUND(L301,2)</f>
        <v>5700</v>
      </c>
    </row>
    <row r="302" spans="1:13" ht="39.75" customHeight="1" thickBot="1">
      <c r="A302" s="10" t="s">
        <v>472</v>
      </c>
      <c r="B302" s="5" t="s">
        <v>473</v>
      </c>
      <c r="C302" s="5" t="s">
        <v>474</v>
      </c>
      <c r="D302" s="59" t="s">
        <v>475</v>
      </c>
      <c r="E302" s="59"/>
      <c r="F302" s="59"/>
      <c r="G302" s="59"/>
      <c r="H302" s="59"/>
      <c r="I302" s="59"/>
      <c r="J302" s="59"/>
      <c r="K302" s="20">
        <f>ROUND(4,2)</f>
        <v>4</v>
      </c>
      <c r="L302" s="21">
        <f>ROUND(637.255*(1+M2/100),2)</f>
        <v>650</v>
      </c>
      <c r="M302" s="21">
        <f>ROUND(K302*L302,2)</f>
        <v>2600</v>
      </c>
    </row>
    <row r="303" spans="1:13" ht="58.35" customHeight="1" thickBot="1">
      <c r="A303" s="10" t="s">
        <v>476</v>
      </c>
      <c r="B303" s="5" t="s">
        <v>477</v>
      </c>
      <c r="C303" s="5" t="s">
        <v>478</v>
      </c>
      <c r="D303" s="59" t="s">
        <v>479</v>
      </c>
      <c r="E303" s="59"/>
      <c r="F303" s="59"/>
      <c r="G303" s="59"/>
      <c r="H303" s="59"/>
      <c r="I303" s="59"/>
      <c r="J303" s="59"/>
      <c r="K303" s="20">
        <f>ROUND(1,2)</f>
        <v>1</v>
      </c>
      <c r="L303" s="21">
        <f>ROUND(1960.784*(1+M2/100),2)</f>
        <v>2000</v>
      </c>
      <c r="M303" s="21">
        <f>ROUND(K303*L303,2)</f>
        <v>2000</v>
      </c>
    </row>
    <row r="304" spans="1:13" ht="30.6" customHeight="1" thickBot="1">
      <c r="A304" s="10" t="s">
        <v>480</v>
      </c>
      <c r="B304" s="5" t="s">
        <v>481</v>
      </c>
      <c r="C304" s="5" t="s">
        <v>482</v>
      </c>
      <c r="D304" s="59" t="s">
        <v>483</v>
      </c>
      <c r="E304" s="59"/>
      <c r="F304" s="59"/>
      <c r="G304" s="59"/>
      <c r="H304" s="59"/>
      <c r="I304" s="59"/>
      <c r="J304" s="59"/>
      <c r="K304" s="20">
        <f>ROUND(5,2)</f>
        <v>5</v>
      </c>
      <c r="L304" s="21">
        <f>ROUND(83.07*(1+M2/100),2)</f>
        <v>84.73</v>
      </c>
      <c r="M304" s="21">
        <f>ROUND(K304*L304,2)</f>
        <v>423.65</v>
      </c>
    </row>
    <row r="305" spans="1:13" ht="30.6" customHeight="1" thickBot="1">
      <c r="A305" s="10" t="s">
        <v>484</v>
      </c>
      <c r="B305" s="5" t="s">
        <v>485</v>
      </c>
      <c r="C305" s="5" t="s">
        <v>486</v>
      </c>
      <c r="D305" s="59" t="s">
        <v>487</v>
      </c>
      <c r="E305" s="59"/>
      <c r="F305" s="59"/>
      <c r="G305" s="59"/>
      <c r="H305" s="59"/>
      <c r="I305" s="59"/>
      <c r="J305" s="59"/>
      <c r="K305" s="20">
        <f>ROUND(1,2)</f>
        <v>1</v>
      </c>
      <c r="L305" s="21">
        <f>ROUND(663.088*(1+M2/100),2)</f>
        <v>676.35</v>
      </c>
      <c r="M305" s="21">
        <f>ROUND(K305*L305,2)</f>
        <v>676.35</v>
      </c>
    </row>
    <row r="306" spans="1:13" ht="15.4" customHeight="1" thickBot="1">
      <c r="A306" s="34"/>
      <c r="B306" s="34"/>
      <c r="C306" s="34"/>
      <c r="D306" s="49" t="s">
        <v>488</v>
      </c>
      <c r="E306" s="50"/>
      <c r="F306" s="50"/>
      <c r="G306" s="50"/>
      <c r="H306" s="50"/>
      <c r="I306" s="50"/>
      <c r="J306" s="50"/>
      <c r="K306" s="50"/>
      <c r="L306" s="51">
        <f>M302+M303+M304+M305</f>
        <v>5700</v>
      </c>
      <c r="M306" s="51">
        <f>ROUND(L306,2)</f>
        <v>5700</v>
      </c>
    </row>
    <row r="307" spans="1:13" ht="15.4" customHeight="1" thickBot="1">
      <c r="A307" s="46" t="s">
        <v>489</v>
      </c>
      <c r="B307" s="46" t="s">
        <v>490</v>
      </c>
      <c r="C307" s="47"/>
      <c r="D307" s="61" t="s">
        <v>491</v>
      </c>
      <c r="E307" s="61"/>
      <c r="F307" s="61"/>
      <c r="G307" s="61"/>
      <c r="H307" s="61"/>
      <c r="I307" s="61"/>
      <c r="J307" s="61"/>
      <c r="K307" s="47"/>
      <c r="L307" s="48">
        <f>L336</f>
        <v>2500.0000000000005</v>
      </c>
      <c r="M307" s="48">
        <f>ROUND(L307,2)</f>
        <v>2500</v>
      </c>
    </row>
    <row r="308" spans="1:13" ht="30.6" customHeight="1" thickBot="1">
      <c r="A308" s="10" t="s">
        <v>492</v>
      </c>
      <c r="B308" s="5" t="s">
        <v>493</v>
      </c>
      <c r="C308" s="5" t="s">
        <v>494</v>
      </c>
      <c r="D308" s="59" t="s">
        <v>495</v>
      </c>
      <c r="E308" s="59"/>
      <c r="F308" s="59"/>
      <c r="G308" s="59"/>
      <c r="H308" s="59"/>
      <c r="I308" s="59"/>
      <c r="J308" s="59"/>
      <c r="K308" s="20">
        <f>SUM(K310:K314)</f>
        <v>31.549999999999997</v>
      </c>
      <c r="L308" s="21">
        <f>ROUND(7.52*(1+M2/100),2)</f>
        <v>7.67</v>
      </c>
      <c r="M308" s="21">
        <f>ROUND(K308*L308,2)</f>
        <v>241.99</v>
      </c>
    </row>
    <row r="309" spans="1:13" ht="15.2" customHeight="1" thickBot="1">
      <c r="A309" s="22"/>
      <c r="B309" s="22"/>
      <c r="C309" s="22"/>
      <c r="D309" s="22"/>
      <c r="E309" s="23"/>
      <c r="F309" s="25" t="s">
        <v>496</v>
      </c>
      <c r="G309" s="25" t="s">
        <v>497</v>
      </c>
      <c r="H309" s="25" t="s">
        <v>498</v>
      </c>
      <c r="I309" s="25" t="s">
        <v>499</v>
      </c>
      <c r="J309" s="25" t="s">
        <v>500</v>
      </c>
      <c r="K309" s="25" t="s">
        <v>501</v>
      </c>
      <c r="L309" s="22"/>
      <c r="M309" s="22"/>
    </row>
    <row r="310" spans="1:13" ht="15.2" customHeight="1" thickBot="1">
      <c r="A310" s="22"/>
      <c r="B310" s="22"/>
      <c r="C310" s="22"/>
      <c r="D310" s="26"/>
      <c r="E310" s="27" t="s">
        <v>502</v>
      </c>
      <c r="F310" s="28">
        <v>3</v>
      </c>
      <c r="G310" s="29">
        <v>8</v>
      </c>
      <c r="H310" s="29"/>
      <c r="I310" s="29">
        <v>0.6</v>
      </c>
      <c r="J310" s="31">
        <f>ROUND(F310*G310*I310,3)</f>
        <v>14.4</v>
      </c>
      <c r="K310" s="32"/>
      <c r="L310" s="22"/>
      <c r="M310" s="22"/>
    </row>
    <row r="311" spans="1:13" ht="15.2" customHeight="1" thickBot="1">
      <c r="A311" s="22"/>
      <c r="B311" s="22"/>
      <c r="C311" s="22"/>
      <c r="D311" s="26"/>
      <c r="E311" s="5" t="s">
        <v>503</v>
      </c>
      <c r="F311" s="3">
        <v>3</v>
      </c>
      <c r="G311" s="20">
        <v>0.9</v>
      </c>
      <c r="H311" s="20"/>
      <c r="I311" s="20">
        <v>0.6</v>
      </c>
      <c r="J311" s="30">
        <f>ROUND(F311*G311*I311,3)</f>
        <v>1.62</v>
      </c>
      <c r="K311" s="22"/>
      <c r="L311" s="22"/>
      <c r="M311" s="22"/>
    </row>
    <row r="312" spans="1:13" ht="15.2" customHeight="1" thickBot="1">
      <c r="A312" s="22"/>
      <c r="B312" s="22"/>
      <c r="C312" s="22"/>
      <c r="D312" s="26"/>
      <c r="E312" s="5" t="s">
        <v>504</v>
      </c>
      <c r="F312" s="3">
        <v>2</v>
      </c>
      <c r="G312" s="20">
        <v>3</v>
      </c>
      <c r="H312" s="20">
        <v>1.35</v>
      </c>
      <c r="I312" s="20"/>
      <c r="J312" s="30">
        <f>ROUND(F312*G312*H312,3)</f>
        <v>8.1</v>
      </c>
      <c r="K312" s="22"/>
      <c r="L312" s="22"/>
      <c r="M312" s="22"/>
    </row>
    <row r="313" spans="1:13" ht="15.2" customHeight="1" thickBot="1">
      <c r="A313" s="22"/>
      <c r="B313" s="22"/>
      <c r="C313" s="22"/>
      <c r="D313" s="26"/>
      <c r="E313" s="5" t="s">
        <v>505</v>
      </c>
      <c r="F313" s="3"/>
      <c r="G313" s="20">
        <v>4.4000000000000004</v>
      </c>
      <c r="H313" s="20"/>
      <c r="I313" s="20">
        <v>0.5</v>
      </c>
      <c r="J313" s="30">
        <f>ROUND(G313*I313,3)</f>
        <v>2.2000000000000002</v>
      </c>
      <c r="K313" s="22"/>
      <c r="L313" s="22"/>
      <c r="M313" s="22"/>
    </row>
    <row r="314" spans="1:13" ht="15.2" customHeight="1" thickBot="1">
      <c r="A314" s="22"/>
      <c r="B314" s="22"/>
      <c r="C314" s="22"/>
      <c r="D314" s="26"/>
      <c r="E314" s="5" t="s">
        <v>506</v>
      </c>
      <c r="F314" s="3"/>
      <c r="G314" s="20">
        <v>5.23</v>
      </c>
      <c r="H314" s="20"/>
      <c r="I314" s="20"/>
      <c r="J314" s="30">
        <f>ROUND(G314,3)</f>
        <v>5.23</v>
      </c>
      <c r="K314" s="33">
        <f>SUM(J310:J314)</f>
        <v>31.549999999999997</v>
      </c>
      <c r="L314" s="22"/>
      <c r="M314" s="22"/>
    </row>
    <row r="315" spans="1:13" ht="39.75" customHeight="1" thickBot="1">
      <c r="A315" s="10" t="s">
        <v>507</v>
      </c>
      <c r="B315" s="5" t="s">
        <v>508</v>
      </c>
      <c r="C315" s="5" t="s">
        <v>509</v>
      </c>
      <c r="D315" s="59" t="s">
        <v>510</v>
      </c>
      <c r="E315" s="59"/>
      <c r="F315" s="59"/>
      <c r="G315" s="59"/>
      <c r="H315" s="59"/>
      <c r="I315" s="59"/>
      <c r="J315" s="59"/>
      <c r="K315" s="20">
        <f>SUM(K317:K320)</f>
        <v>26.319999999999997</v>
      </c>
      <c r="L315" s="21">
        <f>ROUND(28.7*(1+M2/100),2)</f>
        <v>29.27</v>
      </c>
      <c r="M315" s="21">
        <f>ROUND(K315*L315,2)</f>
        <v>770.39</v>
      </c>
    </row>
    <row r="316" spans="1:13" ht="15.2" customHeight="1" thickBot="1">
      <c r="A316" s="22"/>
      <c r="B316" s="22"/>
      <c r="C316" s="22"/>
      <c r="D316" s="22"/>
      <c r="E316" s="23"/>
      <c r="F316" s="25" t="s">
        <v>511</v>
      </c>
      <c r="G316" s="25" t="s">
        <v>512</v>
      </c>
      <c r="H316" s="25" t="s">
        <v>513</v>
      </c>
      <c r="I316" s="25" t="s">
        <v>514</v>
      </c>
      <c r="J316" s="25" t="s">
        <v>515</v>
      </c>
      <c r="K316" s="25" t="s">
        <v>516</v>
      </c>
      <c r="L316" s="22"/>
      <c r="M316" s="22"/>
    </row>
    <row r="317" spans="1:13" ht="15.2" customHeight="1" thickBot="1">
      <c r="A317" s="22"/>
      <c r="B317" s="22"/>
      <c r="C317" s="22"/>
      <c r="D317" s="26"/>
      <c r="E317" s="27" t="s">
        <v>517</v>
      </c>
      <c r="F317" s="28">
        <v>3</v>
      </c>
      <c r="G317" s="29">
        <v>8</v>
      </c>
      <c r="H317" s="29"/>
      <c r="I317" s="29">
        <v>0.6</v>
      </c>
      <c r="J317" s="31">
        <f>ROUND(F317*G317*I317,3)</f>
        <v>14.4</v>
      </c>
      <c r="K317" s="32"/>
      <c r="L317" s="22"/>
      <c r="M317" s="22"/>
    </row>
    <row r="318" spans="1:13" ht="15.2" customHeight="1" thickBot="1">
      <c r="A318" s="22"/>
      <c r="B318" s="22"/>
      <c r="C318" s="22"/>
      <c r="D318" s="26"/>
      <c r="E318" s="5" t="s">
        <v>518</v>
      </c>
      <c r="F318" s="3">
        <v>3</v>
      </c>
      <c r="G318" s="20">
        <v>0.9</v>
      </c>
      <c r="H318" s="20"/>
      <c r="I318" s="20">
        <v>0.6</v>
      </c>
      <c r="J318" s="30">
        <f>ROUND(F318*G318*I318,3)</f>
        <v>1.62</v>
      </c>
      <c r="K318" s="22"/>
      <c r="L318" s="22"/>
      <c r="M318" s="22"/>
    </row>
    <row r="319" spans="1:13" ht="15.2" customHeight="1" thickBot="1">
      <c r="A319" s="22"/>
      <c r="B319" s="22"/>
      <c r="C319" s="22"/>
      <c r="D319" s="26"/>
      <c r="E319" s="5" t="s">
        <v>519</v>
      </c>
      <c r="F319" s="3">
        <v>2</v>
      </c>
      <c r="G319" s="20">
        <v>3</v>
      </c>
      <c r="H319" s="20">
        <v>1.35</v>
      </c>
      <c r="I319" s="20"/>
      <c r="J319" s="30">
        <f>ROUND(F319*G319*H319,3)</f>
        <v>8.1</v>
      </c>
      <c r="K319" s="22"/>
      <c r="L319" s="22"/>
      <c r="M319" s="22"/>
    </row>
    <row r="320" spans="1:13" ht="15.2" customHeight="1" thickBot="1">
      <c r="A320" s="22"/>
      <c r="B320" s="22"/>
      <c r="C320" s="22"/>
      <c r="D320" s="26"/>
      <c r="E320" s="5" t="s">
        <v>520</v>
      </c>
      <c r="F320" s="3"/>
      <c r="G320" s="20">
        <v>4.4000000000000004</v>
      </c>
      <c r="H320" s="20"/>
      <c r="I320" s="20">
        <v>0.5</v>
      </c>
      <c r="J320" s="30">
        <f>ROUND(G320*I320,3)</f>
        <v>2.2000000000000002</v>
      </c>
      <c r="K320" s="33">
        <f>SUM(J317:J320)</f>
        <v>26.319999999999997</v>
      </c>
      <c r="L320" s="22"/>
      <c r="M320" s="22"/>
    </row>
    <row r="321" spans="1:13" ht="49.15" customHeight="1" thickBot="1">
      <c r="A321" s="10" t="s">
        <v>521</v>
      </c>
      <c r="B321" s="5" t="s">
        <v>522</v>
      </c>
      <c r="C321" s="5" t="s">
        <v>523</v>
      </c>
      <c r="D321" s="59" t="s">
        <v>524</v>
      </c>
      <c r="E321" s="59"/>
      <c r="F321" s="59"/>
      <c r="G321" s="59"/>
      <c r="H321" s="59"/>
      <c r="I321" s="59"/>
      <c r="J321" s="59"/>
      <c r="K321" s="20">
        <f>SUM(K323:K327)</f>
        <v>26.21</v>
      </c>
      <c r="L321" s="21">
        <f>ROUND(36.428*(1+M2/100),2)</f>
        <v>37.159999999999997</v>
      </c>
      <c r="M321" s="21">
        <f>ROUND(K321*L321,2)</f>
        <v>973.96</v>
      </c>
    </row>
    <row r="322" spans="1:13" ht="15.2" customHeight="1" thickBot="1">
      <c r="A322" s="22"/>
      <c r="B322" s="22"/>
      <c r="C322" s="22"/>
      <c r="D322" s="22"/>
      <c r="E322" s="23"/>
      <c r="F322" s="25" t="s">
        <v>525</v>
      </c>
      <c r="G322" s="25" t="s">
        <v>526</v>
      </c>
      <c r="H322" s="25" t="s">
        <v>527</v>
      </c>
      <c r="I322" s="25" t="s">
        <v>528</v>
      </c>
      <c r="J322" s="25" t="s">
        <v>529</v>
      </c>
      <c r="K322" s="25" t="s">
        <v>530</v>
      </c>
      <c r="L322" s="22"/>
      <c r="M322" s="22"/>
    </row>
    <row r="323" spans="1:13" ht="15.2" customHeight="1" thickBot="1">
      <c r="A323" s="22"/>
      <c r="B323" s="22"/>
      <c r="C323" s="22"/>
      <c r="D323" s="26"/>
      <c r="E323" s="27" t="s">
        <v>531</v>
      </c>
      <c r="F323" s="28">
        <v>2</v>
      </c>
      <c r="G323" s="29">
        <v>8</v>
      </c>
      <c r="H323" s="29"/>
      <c r="I323" s="29">
        <v>0.6</v>
      </c>
      <c r="J323" s="31">
        <f>ROUND(F323*G323*I323,3)</f>
        <v>9.6</v>
      </c>
      <c r="K323" s="32"/>
      <c r="L323" s="22"/>
      <c r="M323" s="22"/>
    </row>
    <row r="324" spans="1:13" ht="15.2" customHeight="1" thickBot="1">
      <c r="A324" s="22"/>
      <c r="B324" s="22"/>
      <c r="C324" s="22"/>
      <c r="D324" s="26"/>
      <c r="E324" s="5" t="s">
        <v>532</v>
      </c>
      <c r="F324" s="3">
        <v>2</v>
      </c>
      <c r="G324" s="20">
        <v>0.9</v>
      </c>
      <c r="H324" s="20"/>
      <c r="I324" s="20">
        <v>0.6</v>
      </c>
      <c r="J324" s="30">
        <f>ROUND(F324*G324*I324,3)</f>
        <v>1.08</v>
      </c>
      <c r="K324" s="22"/>
      <c r="L324" s="22"/>
      <c r="M324" s="22"/>
    </row>
    <row r="325" spans="1:13" ht="15.2" customHeight="1" thickBot="1">
      <c r="A325" s="22"/>
      <c r="B325" s="22"/>
      <c r="C325" s="22"/>
      <c r="D325" s="26"/>
      <c r="E325" s="5" t="s">
        <v>533</v>
      </c>
      <c r="F325" s="3">
        <v>2</v>
      </c>
      <c r="G325" s="20">
        <v>3</v>
      </c>
      <c r="H325" s="20">
        <v>1.35</v>
      </c>
      <c r="I325" s="20"/>
      <c r="J325" s="30">
        <f>ROUND(F325*G325*H325,3)</f>
        <v>8.1</v>
      </c>
      <c r="K325" s="22"/>
      <c r="L325" s="22"/>
      <c r="M325" s="22"/>
    </row>
    <row r="326" spans="1:13" ht="15.2" customHeight="1" thickBot="1">
      <c r="A326" s="22"/>
      <c r="B326" s="22"/>
      <c r="C326" s="22"/>
      <c r="D326" s="26"/>
      <c r="E326" s="5" t="s">
        <v>534</v>
      </c>
      <c r="F326" s="3"/>
      <c r="G326" s="20">
        <v>4.4000000000000004</v>
      </c>
      <c r="H326" s="20"/>
      <c r="I326" s="20">
        <v>0.5</v>
      </c>
      <c r="J326" s="30">
        <f>ROUND(G326*I326,3)</f>
        <v>2.2000000000000002</v>
      </c>
      <c r="K326" s="22"/>
      <c r="L326" s="22"/>
      <c r="M326" s="22"/>
    </row>
    <row r="327" spans="1:13" ht="15.2" customHeight="1" thickBot="1">
      <c r="A327" s="22"/>
      <c r="B327" s="22"/>
      <c r="C327" s="22"/>
      <c r="D327" s="26"/>
      <c r="E327" s="5" t="s">
        <v>535</v>
      </c>
      <c r="F327" s="3"/>
      <c r="G327" s="20">
        <v>5.23</v>
      </c>
      <c r="H327" s="20"/>
      <c r="I327" s="20"/>
      <c r="J327" s="30">
        <f>ROUND(G327,3)</f>
        <v>5.23</v>
      </c>
      <c r="K327" s="33">
        <f>SUM(J323:J327)</f>
        <v>26.21</v>
      </c>
      <c r="L327" s="22"/>
      <c r="M327" s="22"/>
    </row>
    <row r="328" spans="1:13" ht="21.4" customHeight="1" thickBot="1">
      <c r="A328" s="10" t="s">
        <v>536</v>
      </c>
      <c r="B328" s="5" t="s">
        <v>537</v>
      </c>
      <c r="C328" s="5" t="s">
        <v>538</v>
      </c>
      <c r="D328" s="59" t="s">
        <v>539</v>
      </c>
      <c r="E328" s="59"/>
      <c r="F328" s="59"/>
      <c r="G328" s="59"/>
      <c r="H328" s="59"/>
      <c r="I328" s="59"/>
      <c r="J328" s="59"/>
      <c r="K328" s="20">
        <f>ROUND(2,2)</f>
        <v>2</v>
      </c>
      <c r="L328" s="21">
        <f>ROUND(13.828*(1+M2/100),2)</f>
        <v>14.1</v>
      </c>
      <c r="M328" s="21">
        <f>ROUND(K328*L328,2)</f>
        <v>28.2</v>
      </c>
    </row>
    <row r="329" spans="1:13" ht="21.4" customHeight="1" thickBot="1">
      <c r="A329" s="10" t="s">
        <v>540</v>
      </c>
      <c r="B329" s="5" t="s">
        <v>541</v>
      </c>
      <c r="C329" s="5" t="s">
        <v>542</v>
      </c>
      <c r="D329" s="59" t="s">
        <v>543</v>
      </c>
      <c r="E329" s="59"/>
      <c r="F329" s="59"/>
      <c r="G329" s="59"/>
      <c r="H329" s="59"/>
      <c r="I329" s="59"/>
      <c r="J329" s="59"/>
      <c r="K329" s="20">
        <f>SUM(K331:K331)</f>
        <v>1.046</v>
      </c>
      <c r="L329" s="21">
        <f>ROUND(36.429*(1+M2/100),2)</f>
        <v>37.159999999999997</v>
      </c>
      <c r="M329" s="21">
        <f>ROUND(K329*L329,2)</f>
        <v>38.869999999999997</v>
      </c>
    </row>
    <row r="330" spans="1:13" ht="15.2" customHeight="1" thickBot="1">
      <c r="A330" s="22"/>
      <c r="B330" s="22"/>
      <c r="C330" s="22"/>
      <c r="D330" s="22"/>
      <c r="E330" s="23"/>
      <c r="F330" s="25" t="s">
        <v>544</v>
      </c>
      <c r="G330" s="25" t="s">
        <v>545</v>
      </c>
      <c r="H330" s="25" t="s">
        <v>546</v>
      </c>
      <c r="I330" s="25" t="s">
        <v>547</v>
      </c>
      <c r="J330" s="25" t="s">
        <v>548</v>
      </c>
      <c r="K330" s="25" t="s">
        <v>549</v>
      </c>
      <c r="L330" s="22"/>
      <c r="M330" s="22"/>
    </row>
    <row r="331" spans="1:13" ht="15.2" customHeight="1" thickBot="1">
      <c r="A331" s="22"/>
      <c r="B331" s="22"/>
      <c r="C331" s="22"/>
      <c r="D331" s="26"/>
      <c r="E331" s="27" t="s">
        <v>550</v>
      </c>
      <c r="F331" s="28"/>
      <c r="G331" s="29">
        <v>5.23</v>
      </c>
      <c r="H331" s="29"/>
      <c r="I331" s="29">
        <v>0.2</v>
      </c>
      <c r="J331" s="31">
        <f>ROUND(G331*I331,3)</f>
        <v>1.046</v>
      </c>
      <c r="K331" s="41">
        <f>SUM(J331:J331)</f>
        <v>1.046</v>
      </c>
      <c r="L331" s="22"/>
      <c r="M331" s="22"/>
    </row>
    <row r="332" spans="1:13" ht="21.4" customHeight="1" thickBot="1">
      <c r="A332" s="10" t="s">
        <v>551</v>
      </c>
      <c r="B332" s="5" t="s">
        <v>552</v>
      </c>
      <c r="C332" s="5" t="s">
        <v>553</v>
      </c>
      <c r="D332" s="59" t="s">
        <v>554</v>
      </c>
      <c r="E332" s="59"/>
      <c r="F332" s="59"/>
      <c r="G332" s="59"/>
      <c r="H332" s="59"/>
      <c r="I332" s="59"/>
      <c r="J332" s="59"/>
      <c r="K332" s="20">
        <f>ROUND(1,2)</f>
        <v>1</v>
      </c>
      <c r="L332" s="21">
        <f>ROUND(76.314*(1+M2/100),2)</f>
        <v>77.84</v>
      </c>
      <c r="M332" s="21">
        <f>ROUND(K332*L332,2)</f>
        <v>77.84</v>
      </c>
    </row>
    <row r="333" spans="1:13" ht="15.4" customHeight="1" thickBot="1">
      <c r="A333" s="10" t="s">
        <v>555</v>
      </c>
      <c r="B333" s="5" t="s">
        <v>556</v>
      </c>
      <c r="C333" s="5" t="s">
        <v>557</v>
      </c>
      <c r="D333" s="59" t="s">
        <v>558</v>
      </c>
      <c r="E333" s="59"/>
      <c r="F333" s="59"/>
      <c r="G333" s="59"/>
      <c r="H333" s="59"/>
      <c r="I333" s="59"/>
      <c r="J333" s="59"/>
      <c r="K333" s="20">
        <f>ROUND(1,2)</f>
        <v>1</v>
      </c>
      <c r="L333" s="21">
        <f>ROUND(35.97*(1+M2/100),2)</f>
        <v>36.69</v>
      </c>
      <c r="M333" s="21">
        <f>ROUND(K333*L333,2)</f>
        <v>36.69</v>
      </c>
    </row>
    <row r="334" spans="1:13" ht="30.6" customHeight="1" thickBot="1">
      <c r="A334" s="10" t="s">
        <v>559</v>
      </c>
      <c r="B334" s="5" t="s">
        <v>560</v>
      </c>
      <c r="C334" s="5" t="s">
        <v>561</v>
      </c>
      <c r="D334" s="59" t="s">
        <v>562</v>
      </c>
      <c r="E334" s="59"/>
      <c r="F334" s="59"/>
      <c r="G334" s="59"/>
      <c r="H334" s="59"/>
      <c r="I334" s="59"/>
      <c r="J334" s="59"/>
      <c r="K334" s="20">
        <f>ROUND(20,2)</f>
        <v>20</v>
      </c>
      <c r="L334" s="21">
        <f>ROUND(1.23*(1+M2/100),2)</f>
        <v>1.25</v>
      </c>
      <c r="M334" s="21">
        <f>ROUND(K334*L334,2)</f>
        <v>25</v>
      </c>
    </row>
    <row r="335" spans="1:13" ht="30.6" customHeight="1" thickBot="1">
      <c r="A335" s="10" t="s">
        <v>563</v>
      </c>
      <c r="B335" s="5" t="s">
        <v>564</v>
      </c>
      <c r="C335" s="5" t="s">
        <v>565</v>
      </c>
      <c r="D335" s="59" t="s">
        <v>566</v>
      </c>
      <c r="E335" s="59"/>
      <c r="F335" s="59"/>
      <c r="G335" s="59"/>
      <c r="H335" s="59"/>
      <c r="I335" s="59"/>
      <c r="J335" s="59"/>
      <c r="K335" s="20">
        <f>ROUND(3.15,2)</f>
        <v>3.15</v>
      </c>
      <c r="L335" s="21">
        <f>ROUND(95.57*(1+M2/100),2)</f>
        <v>97.48</v>
      </c>
      <c r="M335" s="21">
        <f>ROUND(K335*L335,2)</f>
        <v>307.06</v>
      </c>
    </row>
    <row r="336" spans="1:13" ht="15.4" customHeight="1" thickBot="1">
      <c r="A336" s="34"/>
      <c r="B336" s="34"/>
      <c r="C336" s="34"/>
      <c r="D336" s="49" t="s">
        <v>567</v>
      </c>
      <c r="E336" s="50"/>
      <c r="F336" s="50"/>
      <c r="G336" s="50"/>
      <c r="H336" s="50"/>
      <c r="I336" s="50"/>
      <c r="J336" s="50"/>
      <c r="K336" s="50"/>
      <c r="L336" s="51">
        <f>M308+M315+M321+M328+M329+M332+M333+M334+M335</f>
        <v>2500.0000000000005</v>
      </c>
      <c r="M336" s="51">
        <f>ROUND(L336,2)</f>
        <v>2500</v>
      </c>
    </row>
    <row r="337" spans="1:13" ht="15.4" customHeight="1" thickBot="1">
      <c r="A337" s="46" t="s">
        <v>568</v>
      </c>
      <c r="B337" s="46" t="s">
        <v>569</v>
      </c>
      <c r="C337" s="47"/>
      <c r="D337" s="61" t="s">
        <v>570</v>
      </c>
      <c r="E337" s="61"/>
      <c r="F337" s="61"/>
      <c r="G337" s="61"/>
      <c r="H337" s="61"/>
      <c r="I337" s="61"/>
      <c r="J337" s="61"/>
      <c r="K337" s="47"/>
      <c r="L337" s="48">
        <f>L350</f>
        <v>5200</v>
      </c>
      <c r="M337" s="48">
        <f>ROUND(L337,2)</f>
        <v>5200</v>
      </c>
    </row>
    <row r="338" spans="1:13" ht="30.6" customHeight="1" thickBot="1">
      <c r="A338" s="10" t="s">
        <v>571</v>
      </c>
      <c r="B338" s="5" t="s">
        <v>572</v>
      </c>
      <c r="C338" s="5" t="s">
        <v>573</v>
      </c>
      <c r="D338" s="59" t="s">
        <v>574</v>
      </c>
      <c r="E338" s="59"/>
      <c r="F338" s="59"/>
      <c r="G338" s="59"/>
      <c r="H338" s="59"/>
      <c r="I338" s="59"/>
      <c r="J338" s="59"/>
      <c r="K338" s="20">
        <f>SUM(K340:K341)</f>
        <v>5.9700000000000006</v>
      </c>
      <c r="L338" s="21">
        <f>ROUND(355.81*(1+M2/100),2)</f>
        <v>362.93</v>
      </c>
      <c r="M338" s="21">
        <f>ROUND(K338*L338,2)</f>
        <v>2166.69</v>
      </c>
    </row>
    <row r="339" spans="1:13" ht="15.2" customHeight="1" thickBot="1">
      <c r="A339" s="22"/>
      <c r="B339" s="22"/>
      <c r="C339" s="22"/>
      <c r="D339" s="22"/>
      <c r="E339" s="23"/>
      <c r="F339" s="25" t="s">
        <v>575</v>
      </c>
      <c r="G339" s="25" t="s">
        <v>576</v>
      </c>
      <c r="H339" s="25" t="s">
        <v>577</v>
      </c>
      <c r="I339" s="25" t="s">
        <v>578</v>
      </c>
      <c r="J339" s="25" t="s">
        <v>579</v>
      </c>
      <c r="K339" s="25" t="s">
        <v>580</v>
      </c>
      <c r="L339" s="22"/>
      <c r="M339" s="22"/>
    </row>
    <row r="340" spans="1:13" ht="15.2" customHeight="1" thickBot="1">
      <c r="A340" s="22"/>
      <c r="B340" s="22"/>
      <c r="C340" s="22"/>
      <c r="D340" s="26"/>
      <c r="E340" s="27" t="s">
        <v>581</v>
      </c>
      <c r="F340" s="28">
        <v>2</v>
      </c>
      <c r="G340" s="29">
        <v>12</v>
      </c>
      <c r="H340" s="29">
        <v>0.3</v>
      </c>
      <c r="I340" s="29">
        <v>0.6</v>
      </c>
      <c r="J340" s="31">
        <f>ROUND(F340*G340*H340*I340,3)</f>
        <v>4.32</v>
      </c>
      <c r="K340" s="32"/>
      <c r="L340" s="22"/>
      <c r="M340" s="22"/>
    </row>
    <row r="341" spans="1:13" ht="21.4" customHeight="1" thickBot="1">
      <c r="A341" s="22"/>
      <c r="B341" s="22"/>
      <c r="C341" s="22"/>
      <c r="D341" s="26"/>
      <c r="E341" s="5" t="s">
        <v>582</v>
      </c>
      <c r="F341" s="3"/>
      <c r="G341" s="20">
        <v>3.3</v>
      </c>
      <c r="H341" s="20">
        <v>0.5</v>
      </c>
      <c r="I341" s="20">
        <v>1</v>
      </c>
      <c r="J341" s="30">
        <f>ROUND(G341*H341*I341,3)</f>
        <v>1.65</v>
      </c>
      <c r="K341" s="33">
        <f>SUM(J340:J341)</f>
        <v>5.9700000000000006</v>
      </c>
      <c r="L341" s="22"/>
      <c r="M341" s="22"/>
    </row>
    <row r="342" spans="1:13" ht="58.35" customHeight="1" thickBot="1">
      <c r="A342" s="10" t="s">
        <v>583</v>
      </c>
      <c r="B342" s="5" t="s">
        <v>584</v>
      </c>
      <c r="C342" s="5" t="s">
        <v>585</v>
      </c>
      <c r="D342" s="59" t="s">
        <v>586</v>
      </c>
      <c r="E342" s="59"/>
      <c r="F342" s="59"/>
      <c r="G342" s="59"/>
      <c r="H342" s="59"/>
      <c r="I342" s="59"/>
      <c r="J342" s="59"/>
      <c r="K342" s="20">
        <f>SUM(K344:K344)</f>
        <v>27.6</v>
      </c>
      <c r="L342" s="21">
        <f>ROUND(70.5*(1+M2/100),2)</f>
        <v>71.91</v>
      </c>
      <c r="M342" s="21">
        <f>ROUND(K342*L342,2)</f>
        <v>1984.72</v>
      </c>
    </row>
    <row r="343" spans="1:13" ht="15.2" customHeight="1" thickBot="1">
      <c r="A343" s="22"/>
      <c r="B343" s="22"/>
      <c r="C343" s="22"/>
      <c r="D343" s="22"/>
      <c r="E343" s="23"/>
      <c r="F343" s="25" t="s">
        <v>587</v>
      </c>
      <c r="G343" s="25" t="s">
        <v>588</v>
      </c>
      <c r="H343" s="25" t="s">
        <v>589</v>
      </c>
      <c r="I343" s="25" t="s">
        <v>590</v>
      </c>
      <c r="J343" s="25" t="s">
        <v>591</v>
      </c>
      <c r="K343" s="25" t="s">
        <v>592</v>
      </c>
      <c r="L343" s="22"/>
      <c r="M343" s="22"/>
    </row>
    <row r="344" spans="1:13" ht="15.2" customHeight="1" thickBot="1">
      <c r="A344" s="22"/>
      <c r="B344" s="22"/>
      <c r="C344" s="22"/>
      <c r="D344" s="26"/>
      <c r="E344" s="27" t="s">
        <v>593</v>
      </c>
      <c r="F344" s="28"/>
      <c r="G344" s="29">
        <v>12</v>
      </c>
      <c r="H344" s="29">
        <v>2.2999999999999998</v>
      </c>
      <c r="I344" s="29"/>
      <c r="J344" s="31">
        <f>ROUND(G344*H344,3)</f>
        <v>27.6</v>
      </c>
      <c r="K344" s="41">
        <f>SUM(J344:J344)</f>
        <v>27.6</v>
      </c>
      <c r="L344" s="22"/>
      <c r="M344" s="22"/>
    </row>
    <row r="345" spans="1:13" ht="30.6" customHeight="1" thickBot="1">
      <c r="A345" s="10" t="s">
        <v>594</v>
      </c>
      <c r="B345" s="5" t="s">
        <v>595</v>
      </c>
      <c r="C345" s="5" t="s">
        <v>596</v>
      </c>
      <c r="D345" s="59" t="s">
        <v>597</v>
      </c>
      <c r="E345" s="59"/>
      <c r="F345" s="59"/>
      <c r="G345" s="59"/>
      <c r="H345" s="59"/>
      <c r="I345" s="59"/>
      <c r="J345" s="59"/>
      <c r="K345" s="20">
        <f>SUM(K347:K347)</f>
        <v>12</v>
      </c>
      <c r="L345" s="21">
        <f>ROUND(79.19*(1+M2/100),2)</f>
        <v>80.77</v>
      </c>
      <c r="M345" s="21">
        <f>ROUND(K345*L345,2)</f>
        <v>969.24</v>
      </c>
    </row>
    <row r="346" spans="1:13" ht="15.2" customHeight="1" thickBot="1">
      <c r="A346" s="22"/>
      <c r="B346" s="22"/>
      <c r="C346" s="22"/>
      <c r="D346" s="22"/>
      <c r="E346" s="23"/>
      <c r="F346" s="25" t="s">
        <v>598</v>
      </c>
      <c r="G346" s="25" t="s">
        <v>599</v>
      </c>
      <c r="H346" s="25" t="s">
        <v>600</v>
      </c>
      <c r="I346" s="25" t="s">
        <v>601</v>
      </c>
      <c r="J346" s="25" t="s">
        <v>602</v>
      </c>
      <c r="K346" s="25" t="s">
        <v>603</v>
      </c>
      <c r="L346" s="22"/>
      <c r="M346" s="22"/>
    </row>
    <row r="347" spans="1:13" ht="15.2" customHeight="1" thickBot="1">
      <c r="A347" s="22"/>
      <c r="B347" s="22"/>
      <c r="C347" s="22"/>
      <c r="D347" s="26"/>
      <c r="E347" s="27" t="s">
        <v>604</v>
      </c>
      <c r="F347" s="28">
        <v>2</v>
      </c>
      <c r="G347" s="29">
        <v>6</v>
      </c>
      <c r="H347" s="29"/>
      <c r="I347" s="29"/>
      <c r="J347" s="31">
        <f>ROUND(F347*G347,3)</f>
        <v>12</v>
      </c>
      <c r="K347" s="41">
        <f>SUM(J347:J347)</f>
        <v>12</v>
      </c>
      <c r="L347" s="22"/>
      <c r="M347" s="22"/>
    </row>
    <row r="348" spans="1:13" ht="30.6" customHeight="1" thickBot="1">
      <c r="A348" s="10" t="s">
        <v>605</v>
      </c>
      <c r="B348" s="5" t="s">
        <v>606</v>
      </c>
      <c r="C348" s="5" t="s">
        <v>607</v>
      </c>
      <c r="D348" s="59" t="s">
        <v>608</v>
      </c>
      <c r="E348" s="59"/>
      <c r="F348" s="59"/>
      <c r="G348" s="59"/>
      <c r="H348" s="59"/>
      <c r="I348" s="59"/>
      <c r="J348" s="59"/>
      <c r="K348" s="20">
        <f>ROUND(30,2)</f>
        <v>30</v>
      </c>
      <c r="L348" s="21">
        <f>ROUND(1.23*(1+M2/100),2)</f>
        <v>1.25</v>
      </c>
      <c r="M348" s="21">
        <f>ROUND(K348*L348,2)</f>
        <v>37.5</v>
      </c>
    </row>
    <row r="349" spans="1:13" ht="30.6" customHeight="1" thickBot="1">
      <c r="A349" s="10" t="s">
        <v>609</v>
      </c>
      <c r="B349" s="5" t="s">
        <v>610</v>
      </c>
      <c r="C349" s="5" t="s">
        <v>611</v>
      </c>
      <c r="D349" s="59" t="s">
        <v>612</v>
      </c>
      <c r="E349" s="59"/>
      <c r="F349" s="59"/>
      <c r="G349" s="59"/>
      <c r="H349" s="59"/>
      <c r="I349" s="59"/>
      <c r="J349" s="59"/>
      <c r="K349" s="20">
        <f>ROUND(5,2)</f>
        <v>5</v>
      </c>
      <c r="L349" s="21">
        <f>ROUND(8.21*(1+M2/100),2)</f>
        <v>8.3699999999999992</v>
      </c>
      <c r="M349" s="21">
        <f>ROUND(K349*L349,2)</f>
        <v>41.85</v>
      </c>
    </row>
    <row r="350" spans="1:13" ht="15.4" customHeight="1" thickBot="1">
      <c r="A350" s="34"/>
      <c r="B350" s="34"/>
      <c r="C350" s="34"/>
      <c r="D350" s="49" t="s">
        <v>613</v>
      </c>
      <c r="E350" s="50"/>
      <c r="F350" s="50"/>
      <c r="G350" s="50"/>
      <c r="H350" s="50"/>
      <c r="I350" s="50"/>
      <c r="J350" s="50"/>
      <c r="K350" s="50"/>
      <c r="L350" s="51">
        <f>M338+M342+M345+M348+M349</f>
        <v>5200</v>
      </c>
      <c r="M350" s="51">
        <f>ROUND(L350,2)</f>
        <v>5200</v>
      </c>
    </row>
    <row r="351" spans="1:13" ht="15.4" customHeight="1" thickBot="1">
      <c r="A351" s="46" t="s">
        <v>614</v>
      </c>
      <c r="B351" s="46" t="s">
        <v>615</v>
      </c>
      <c r="C351" s="47"/>
      <c r="D351" s="61" t="s">
        <v>616</v>
      </c>
      <c r="E351" s="61"/>
      <c r="F351" s="61"/>
      <c r="G351" s="61"/>
      <c r="H351" s="61"/>
      <c r="I351" s="61"/>
      <c r="J351" s="61"/>
      <c r="K351" s="47"/>
      <c r="L351" s="48">
        <f>L361</f>
        <v>14500</v>
      </c>
      <c r="M351" s="48">
        <f>ROUND(L351,2)</f>
        <v>14500</v>
      </c>
    </row>
    <row r="352" spans="1:13" ht="30.6" customHeight="1" thickBot="1">
      <c r="A352" s="10" t="s">
        <v>617</v>
      </c>
      <c r="B352" s="5" t="s">
        <v>618</v>
      </c>
      <c r="C352" s="5" t="s">
        <v>619</v>
      </c>
      <c r="D352" s="59" t="s">
        <v>620</v>
      </c>
      <c r="E352" s="59"/>
      <c r="F352" s="59"/>
      <c r="G352" s="59"/>
      <c r="H352" s="59"/>
      <c r="I352" s="59"/>
      <c r="J352" s="59"/>
      <c r="K352" s="20">
        <f>ROUND(2,2)</f>
        <v>2</v>
      </c>
      <c r="L352" s="21">
        <f>ROUND(707.42*(1+M2/100),2)</f>
        <v>721.57</v>
      </c>
      <c r="M352" s="21">
        <f t="shared" ref="M352:M360" si="8">ROUND(K352*L352,2)</f>
        <v>1443.14</v>
      </c>
    </row>
    <row r="353" spans="1:13" ht="30.6" customHeight="1" thickBot="1">
      <c r="A353" s="10" t="s">
        <v>621</v>
      </c>
      <c r="B353" s="5" t="s">
        <v>622</v>
      </c>
      <c r="C353" s="5" t="s">
        <v>623</v>
      </c>
      <c r="D353" s="59" t="s">
        <v>624</v>
      </c>
      <c r="E353" s="59"/>
      <c r="F353" s="59"/>
      <c r="G353" s="59"/>
      <c r="H353" s="59"/>
      <c r="I353" s="59"/>
      <c r="J353" s="59"/>
      <c r="K353" s="20">
        <f>ROUND(6,2)</f>
        <v>6</v>
      </c>
      <c r="L353" s="21">
        <f>ROUND(170.774*(1+M2/100),2)</f>
        <v>174.19</v>
      </c>
      <c r="M353" s="21">
        <f t="shared" si="8"/>
        <v>1045.1400000000001</v>
      </c>
    </row>
    <row r="354" spans="1:13" ht="30.6" customHeight="1" thickBot="1">
      <c r="A354" s="10" t="s">
        <v>625</v>
      </c>
      <c r="B354" s="5" t="s">
        <v>626</v>
      </c>
      <c r="C354" s="5" t="s">
        <v>627</v>
      </c>
      <c r="D354" s="59" t="s">
        <v>628</v>
      </c>
      <c r="E354" s="59"/>
      <c r="F354" s="59"/>
      <c r="G354" s="59"/>
      <c r="H354" s="59"/>
      <c r="I354" s="59"/>
      <c r="J354" s="59"/>
      <c r="K354" s="20">
        <f>ROUND(2,2)</f>
        <v>2</v>
      </c>
      <c r="L354" s="21">
        <f>ROUND(439.094*(1+M2/100),2)</f>
        <v>447.88</v>
      </c>
      <c r="M354" s="21">
        <f t="shared" si="8"/>
        <v>895.76</v>
      </c>
    </row>
    <row r="355" spans="1:13" ht="21.4" customHeight="1" thickBot="1">
      <c r="A355" s="10" t="s">
        <v>629</v>
      </c>
      <c r="B355" s="5" t="s">
        <v>630</v>
      </c>
      <c r="C355" s="5" t="s">
        <v>631</v>
      </c>
      <c r="D355" s="59" t="s">
        <v>632</v>
      </c>
      <c r="E355" s="59"/>
      <c r="F355" s="59"/>
      <c r="G355" s="59"/>
      <c r="H355" s="59"/>
      <c r="I355" s="59"/>
      <c r="J355" s="59"/>
      <c r="K355" s="20">
        <f>ROUND(8,2)</f>
        <v>8</v>
      </c>
      <c r="L355" s="21">
        <f>ROUND(268.349*(1+M2/100),2)</f>
        <v>273.72000000000003</v>
      </c>
      <c r="M355" s="21">
        <f t="shared" si="8"/>
        <v>2189.7600000000002</v>
      </c>
    </row>
    <row r="356" spans="1:13" ht="21.4" customHeight="1" thickBot="1">
      <c r="A356" s="10" t="s">
        <v>633</v>
      </c>
      <c r="B356" s="5" t="s">
        <v>634</v>
      </c>
      <c r="C356" s="5" t="s">
        <v>635</v>
      </c>
      <c r="D356" s="59" t="s">
        <v>636</v>
      </c>
      <c r="E356" s="59"/>
      <c r="F356" s="59"/>
      <c r="G356" s="59"/>
      <c r="H356" s="59"/>
      <c r="I356" s="59"/>
      <c r="J356" s="59"/>
      <c r="K356" s="20">
        <f>ROUND(6,2)</f>
        <v>6</v>
      </c>
      <c r="L356" s="21">
        <f>ROUND(97.589*(1+M2/100),2)</f>
        <v>99.54</v>
      </c>
      <c r="M356" s="21">
        <f t="shared" si="8"/>
        <v>597.24</v>
      </c>
    </row>
    <row r="357" spans="1:13" ht="21.4" customHeight="1" thickBot="1">
      <c r="A357" s="10" t="s">
        <v>637</v>
      </c>
      <c r="B357" s="5" t="s">
        <v>638</v>
      </c>
      <c r="C357" s="5" t="s">
        <v>639</v>
      </c>
      <c r="D357" s="59" t="s">
        <v>640</v>
      </c>
      <c r="E357" s="59"/>
      <c r="F357" s="59"/>
      <c r="G357" s="59"/>
      <c r="H357" s="59"/>
      <c r="I357" s="59"/>
      <c r="J357" s="59"/>
      <c r="K357" s="20">
        <f>ROUND(3,2)</f>
        <v>3</v>
      </c>
      <c r="L357" s="21">
        <f>ROUND(292.73*(1+M2/100),2)</f>
        <v>298.58</v>
      </c>
      <c r="M357" s="21">
        <f t="shared" si="8"/>
        <v>895.74</v>
      </c>
    </row>
    <row r="358" spans="1:13" ht="21.4" customHeight="1" thickBot="1">
      <c r="A358" s="10" t="s">
        <v>641</v>
      </c>
      <c r="B358" s="5" t="s">
        <v>642</v>
      </c>
      <c r="C358" s="5" t="s">
        <v>643</v>
      </c>
      <c r="D358" s="59" t="s">
        <v>644</v>
      </c>
      <c r="E358" s="59"/>
      <c r="F358" s="59"/>
      <c r="G358" s="59"/>
      <c r="H358" s="59"/>
      <c r="I358" s="59"/>
      <c r="J358" s="59"/>
      <c r="K358" s="20">
        <f>ROUND(3,2)</f>
        <v>3</v>
      </c>
      <c r="L358" s="21">
        <f>ROUND(390.306*(1+M2/100),2)</f>
        <v>398.11</v>
      </c>
      <c r="M358" s="21">
        <f t="shared" si="8"/>
        <v>1194.33</v>
      </c>
    </row>
    <row r="359" spans="1:13" ht="30.6" customHeight="1" thickBot="1">
      <c r="A359" s="10" t="s">
        <v>645</v>
      </c>
      <c r="B359" s="5" t="s">
        <v>646</v>
      </c>
      <c r="C359" s="5" t="s">
        <v>647</v>
      </c>
      <c r="D359" s="59" t="s">
        <v>648</v>
      </c>
      <c r="E359" s="59"/>
      <c r="F359" s="59"/>
      <c r="G359" s="59"/>
      <c r="H359" s="59"/>
      <c r="I359" s="59"/>
      <c r="J359" s="59"/>
      <c r="K359" s="20">
        <f>ROUND(1,2)</f>
        <v>1</v>
      </c>
      <c r="L359" s="21">
        <f>ROUND(487.883*(1+M2/100),2)</f>
        <v>497.64</v>
      </c>
      <c r="M359" s="21">
        <f t="shared" si="8"/>
        <v>497.64</v>
      </c>
    </row>
    <row r="360" spans="1:13" ht="30.6" customHeight="1" thickBot="1">
      <c r="A360" s="10" t="s">
        <v>649</v>
      </c>
      <c r="B360" s="5" t="s">
        <v>650</v>
      </c>
      <c r="C360" s="5" t="s">
        <v>651</v>
      </c>
      <c r="D360" s="59" t="s">
        <v>652</v>
      </c>
      <c r="E360" s="59"/>
      <c r="F360" s="59"/>
      <c r="G360" s="59"/>
      <c r="H360" s="59"/>
      <c r="I360" s="59"/>
      <c r="J360" s="59"/>
      <c r="K360" s="20">
        <f>ROUND(25,2)</f>
        <v>25</v>
      </c>
      <c r="L360" s="21">
        <f>ROUND(225.15*(1+M2/100),2)</f>
        <v>229.65</v>
      </c>
      <c r="M360" s="21">
        <f t="shared" si="8"/>
        <v>5741.25</v>
      </c>
    </row>
    <row r="361" spans="1:13" ht="15.4" customHeight="1" thickBot="1">
      <c r="A361" s="34"/>
      <c r="B361" s="34"/>
      <c r="C361" s="34"/>
      <c r="D361" s="49" t="s">
        <v>653</v>
      </c>
      <c r="E361" s="50"/>
      <c r="F361" s="50"/>
      <c r="G361" s="50"/>
      <c r="H361" s="50"/>
      <c r="I361" s="50"/>
      <c r="J361" s="50"/>
      <c r="K361" s="50"/>
      <c r="L361" s="51">
        <f>M352+M353+M354+M355+M356+M357+M358+M359+M360</f>
        <v>14500</v>
      </c>
      <c r="M361" s="51">
        <f>ROUND(L361,2)</f>
        <v>14500</v>
      </c>
    </row>
    <row r="362" spans="1:13" ht="15.4" customHeight="1" thickBot="1">
      <c r="A362" s="46" t="s">
        <v>654</v>
      </c>
      <c r="B362" s="46" t="s">
        <v>655</v>
      </c>
      <c r="C362" s="47"/>
      <c r="D362" s="61" t="s">
        <v>656</v>
      </c>
      <c r="E362" s="61"/>
      <c r="F362" s="61"/>
      <c r="G362" s="61"/>
      <c r="H362" s="61"/>
      <c r="I362" s="61"/>
      <c r="J362" s="61"/>
      <c r="K362" s="47"/>
      <c r="L362" s="48">
        <f>L364</f>
        <v>500</v>
      </c>
      <c r="M362" s="48">
        <f>ROUND(L362,2)</f>
        <v>500</v>
      </c>
    </row>
    <row r="363" spans="1:13" ht="21.4" customHeight="1" thickBot="1">
      <c r="A363" s="10" t="s">
        <v>657</v>
      </c>
      <c r="B363" s="5" t="s">
        <v>658</v>
      </c>
      <c r="C363" s="5" t="s">
        <v>659</v>
      </c>
      <c r="D363" s="59" t="s">
        <v>660</v>
      </c>
      <c r="E363" s="59"/>
      <c r="F363" s="59"/>
      <c r="G363" s="59"/>
      <c r="H363" s="59"/>
      <c r="I363" s="59"/>
      <c r="J363" s="59"/>
      <c r="K363" s="20">
        <f>ROUND(1,2)</f>
        <v>1</v>
      </c>
      <c r="L363" s="21">
        <f>ROUND(490.196*(1+M2/100),2)</f>
        <v>500</v>
      </c>
      <c r="M363" s="21">
        <f>ROUND(K363*L363,2)</f>
        <v>500</v>
      </c>
    </row>
    <row r="364" spans="1:13" ht="15.4" customHeight="1" thickBot="1">
      <c r="A364" s="34"/>
      <c r="B364" s="34"/>
      <c r="C364" s="34"/>
      <c r="D364" s="49" t="s">
        <v>661</v>
      </c>
      <c r="E364" s="50"/>
      <c r="F364" s="50"/>
      <c r="G364" s="50"/>
      <c r="H364" s="50"/>
      <c r="I364" s="50"/>
      <c r="J364" s="50"/>
      <c r="K364" s="50"/>
      <c r="L364" s="51">
        <f>M363</f>
        <v>500</v>
      </c>
      <c r="M364" s="51">
        <f>ROUND(L364,2)</f>
        <v>500</v>
      </c>
    </row>
    <row r="365" spans="1:13" ht="15.4" customHeight="1" thickBot="1">
      <c r="A365" s="46" t="s">
        <v>662</v>
      </c>
      <c r="B365" s="46" t="s">
        <v>663</v>
      </c>
      <c r="C365" s="47"/>
      <c r="D365" s="61" t="s">
        <v>664</v>
      </c>
      <c r="E365" s="61"/>
      <c r="F365" s="61"/>
      <c r="G365" s="61"/>
      <c r="H365" s="61"/>
      <c r="I365" s="61"/>
      <c r="J365" s="61"/>
      <c r="K365" s="47"/>
      <c r="L365" s="48">
        <f>L367</f>
        <v>500</v>
      </c>
      <c r="M365" s="48">
        <f>ROUND(L365,2)</f>
        <v>500</v>
      </c>
    </row>
    <row r="366" spans="1:13" ht="21.4" customHeight="1" thickBot="1">
      <c r="A366" s="10" t="s">
        <v>665</v>
      </c>
      <c r="B366" s="5" t="s">
        <v>666</v>
      </c>
      <c r="C366" s="5" t="s">
        <v>667</v>
      </c>
      <c r="D366" s="59" t="s">
        <v>668</v>
      </c>
      <c r="E366" s="59"/>
      <c r="F366" s="59"/>
      <c r="G366" s="59"/>
      <c r="H366" s="59"/>
      <c r="I366" s="59"/>
      <c r="J366" s="59"/>
      <c r="K366" s="20">
        <f>ROUND(1,2)</f>
        <v>1</v>
      </c>
      <c r="L366" s="21">
        <f>ROUND(490.196*(1+M2/100),2)</f>
        <v>500</v>
      </c>
      <c r="M366" s="21">
        <f>ROUND(K366*L366,2)</f>
        <v>500</v>
      </c>
    </row>
    <row r="367" spans="1:13" ht="15.4" customHeight="1" thickBot="1">
      <c r="A367" s="34"/>
      <c r="B367" s="34"/>
      <c r="C367" s="34"/>
      <c r="D367" s="49" t="s">
        <v>669</v>
      </c>
      <c r="E367" s="50"/>
      <c r="F367" s="50"/>
      <c r="G367" s="50"/>
      <c r="H367" s="50"/>
      <c r="I367" s="50"/>
      <c r="J367" s="50"/>
      <c r="K367" s="50"/>
      <c r="L367" s="51">
        <f>M366</f>
        <v>500</v>
      </c>
      <c r="M367" s="51">
        <f>ROUND(L367,2)</f>
        <v>500</v>
      </c>
    </row>
    <row r="368" spans="1:13" ht="15.4" customHeight="1" thickBot="1">
      <c r="A368" s="42"/>
      <c r="B368" s="42"/>
      <c r="C368" s="42"/>
      <c r="D368" s="52" t="s">
        <v>670</v>
      </c>
      <c r="E368" s="53"/>
      <c r="F368" s="53"/>
      <c r="G368" s="53"/>
      <c r="H368" s="53"/>
      <c r="I368" s="53"/>
      <c r="J368" s="53"/>
      <c r="K368" s="53"/>
      <c r="L368" s="54">
        <f>M62+M221+M300+M306+M336+M350+M361+M364+M367</f>
        <v>109985.7</v>
      </c>
      <c r="M368" s="54">
        <f>ROUND(L368,2)</f>
        <v>109985.7</v>
      </c>
    </row>
  </sheetData>
  <mergeCells count="96">
    <mergeCell ref="D366:J366"/>
    <mergeCell ref="D359:J359"/>
    <mergeCell ref="D360:J360"/>
    <mergeCell ref="D362:J362"/>
    <mergeCell ref="D363:J363"/>
    <mergeCell ref="D365:J365"/>
    <mergeCell ref="D354:J354"/>
    <mergeCell ref="D355:J355"/>
    <mergeCell ref="D356:J356"/>
    <mergeCell ref="D357:J357"/>
    <mergeCell ref="D358:J358"/>
    <mergeCell ref="D348:J348"/>
    <mergeCell ref="D349:J349"/>
    <mergeCell ref="D351:J351"/>
    <mergeCell ref="D352:J352"/>
    <mergeCell ref="D353:J353"/>
    <mergeCell ref="D335:J335"/>
    <mergeCell ref="D337:J337"/>
    <mergeCell ref="D338:J338"/>
    <mergeCell ref="D342:J342"/>
    <mergeCell ref="D345:J345"/>
    <mergeCell ref="D328:J328"/>
    <mergeCell ref="D329:J329"/>
    <mergeCell ref="D332:J332"/>
    <mergeCell ref="D333:J333"/>
    <mergeCell ref="D334:J334"/>
    <mergeCell ref="D305:J305"/>
    <mergeCell ref="D307:J307"/>
    <mergeCell ref="D308:J308"/>
    <mergeCell ref="D315:J315"/>
    <mergeCell ref="D321:J321"/>
    <mergeCell ref="D299:J299"/>
    <mergeCell ref="D301:J301"/>
    <mergeCell ref="D302:J302"/>
    <mergeCell ref="D303:J303"/>
    <mergeCell ref="D304:J304"/>
    <mergeCell ref="D290:J290"/>
    <mergeCell ref="D295:J295"/>
    <mergeCell ref="D296:J296"/>
    <mergeCell ref="D297:J297"/>
    <mergeCell ref="D298:J298"/>
    <mergeCell ref="D268:J268"/>
    <mergeCell ref="D280:J280"/>
    <mergeCell ref="D284:J284"/>
    <mergeCell ref="D285:J285"/>
    <mergeCell ref="D286:J286"/>
    <mergeCell ref="D253:J253"/>
    <mergeCell ref="D254:J254"/>
    <mergeCell ref="D258:J258"/>
    <mergeCell ref="D263:J263"/>
    <mergeCell ref="D264:J264"/>
    <mergeCell ref="D228:J228"/>
    <mergeCell ref="D229:J229"/>
    <mergeCell ref="D242:J242"/>
    <mergeCell ref="D246:J246"/>
    <mergeCell ref="D250:J250"/>
    <mergeCell ref="D216:J216"/>
    <mergeCell ref="D220:J220"/>
    <mergeCell ref="D222:J222"/>
    <mergeCell ref="D223:J223"/>
    <mergeCell ref="D227:J227"/>
    <mergeCell ref="D60:J60"/>
    <mergeCell ref="D63:J63"/>
    <mergeCell ref="D64:J64"/>
    <mergeCell ref="D72:J72"/>
    <mergeCell ref="D215:J215"/>
    <mergeCell ref="D52:J52"/>
    <mergeCell ref="D56:J56"/>
    <mergeCell ref="D57:J57"/>
    <mergeCell ref="D58:J58"/>
    <mergeCell ref="D59:J59"/>
    <mergeCell ref="D38:J38"/>
    <mergeCell ref="D43:J43"/>
    <mergeCell ref="D46:J46"/>
    <mergeCell ref="D50:J50"/>
    <mergeCell ref="D51:J51"/>
    <mergeCell ref="D24:J24"/>
    <mergeCell ref="D29:J29"/>
    <mergeCell ref="D33:J33"/>
    <mergeCell ref="D36:J36"/>
    <mergeCell ref="D37:J37"/>
    <mergeCell ref="D12:J12"/>
    <mergeCell ref="D13:J13"/>
    <mergeCell ref="D14:J14"/>
    <mergeCell ref="D19:J19"/>
    <mergeCell ref="D20:J20"/>
    <mergeCell ref="D7:J7"/>
    <mergeCell ref="D8:J8"/>
    <mergeCell ref="D9:J9"/>
    <mergeCell ref="D10:J10"/>
    <mergeCell ref="D11:J11"/>
    <mergeCell ref="B1:M1"/>
    <mergeCell ref="A2:C2"/>
    <mergeCell ref="D4:J4"/>
    <mergeCell ref="D5:J5"/>
    <mergeCell ref="D6:J6"/>
  </mergeCells>
  <pageMargins left="0.59055100000000005" right="0.59055100000000005" top="0.73818899999999998" bottom="0.59055100000000005" header="0" footer="0"/>
  <pageSetup paperSize="9" orientation="landscape" r:id="rId1"/>
  <rowBreaks count="2" manualBreakCount="2">
    <brk max="16383" man="1"/>
    <brk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BENI</dc:creator>
  <cp:lastModifiedBy>BENI</cp:lastModifiedBy>
  <dcterms:created xsi:type="dcterms:W3CDTF">2018-11-08T09:20:22Z</dcterms:created>
  <dcterms:modified xsi:type="dcterms:W3CDTF">2018-11-08T09:20:23Z</dcterms:modified>
</cp:coreProperties>
</file>